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https://inforegister-my.sharepoint.com/personal/marie_rosin_ir_ee/Documents/Desktop/"/>
    </mc:Choice>
  </mc:AlternateContent>
  <xr:revisionPtr revIDLastSave="0" documentId="14_{3C139E80-5D04-4368-B567-16AFD6BA2FE3}" xr6:coauthVersionLast="47" xr6:coauthVersionMax="47" xr10:uidLastSave="{00000000-0000-0000-0000-000000000000}"/>
  <bookViews>
    <workbookView xWindow="38280" yWindow="-120" windowWidth="29040" windowHeight="15840" xr2:uid="{00000000-000D-0000-FFFF-FFFF00000000}"/>
  </bookViews>
  <sheets>
    <sheet name="Firmad" sheetId="1" r:id="rId1"/>
    <sheet name="Juhatuse ja töötajate kontaktid" sheetId="2" r:id="rId2"/>
  </sheets>
  <definedNames>
    <definedName name="_xlnm._FilterDatabase" localSheetId="0" hidden="1">Firmad!$A$1:$AL$160</definedName>
    <definedName name="_xlnm._FilterDatabase" localSheetId="1" hidden="1">'Juhatuse ja töötajate kontaktid'!$A$1:$F$58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L160" i="1" l="1"/>
  <c r="AH160" i="1"/>
  <c r="AA160" i="1"/>
  <c r="Y160" i="1"/>
  <c r="M160" i="1"/>
  <c r="I160" i="1"/>
  <c r="F160" i="1"/>
  <c r="AL159" i="1"/>
  <c r="AH159" i="1"/>
  <c r="AA159" i="1"/>
  <c r="Y159" i="1"/>
  <c r="M159" i="1"/>
  <c r="I159" i="1"/>
  <c r="F159" i="1"/>
  <c r="AL158" i="1"/>
  <c r="AH158" i="1"/>
  <c r="AA158" i="1"/>
  <c r="Y158" i="1"/>
  <c r="M158" i="1"/>
  <c r="I158" i="1"/>
  <c r="F158" i="1"/>
  <c r="AL157" i="1"/>
  <c r="AH157" i="1"/>
  <c r="AA157" i="1"/>
  <c r="Y157" i="1"/>
  <c r="M157" i="1"/>
  <c r="I157" i="1"/>
  <c r="F157" i="1"/>
  <c r="AL156" i="1"/>
  <c r="AH156" i="1"/>
  <c r="AA156" i="1"/>
  <c r="Y156" i="1"/>
  <c r="M156" i="1"/>
  <c r="I156" i="1"/>
  <c r="F156" i="1"/>
  <c r="AL155" i="1"/>
  <c r="AH155" i="1"/>
  <c r="AA155" i="1"/>
  <c r="Y155" i="1"/>
  <c r="M155" i="1"/>
  <c r="I155" i="1"/>
  <c r="F155" i="1"/>
  <c r="AL154" i="1"/>
  <c r="AH154" i="1"/>
  <c r="AA154" i="1"/>
  <c r="Y154" i="1"/>
  <c r="M154" i="1"/>
  <c r="I154" i="1"/>
  <c r="F154" i="1"/>
  <c r="AL153" i="1"/>
  <c r="AH153" i="1"/>
  <c r="AA153" i="1"/>
  <c r="Y153" i="1"/>
  <c r="M153" i="1"/>
  <c r="I153" i="1"/>
  <c r="F153" i="1"/>
  <c r="AL152" i="1"/>
  <c r="AH152" i="1"/>
  <c r="AA152" i="1"/>
  <c r="Y152" i="1"/>
  <c r="M152" i="1"/>
  <c r="I152" i="1"/>
  <c r="F152" i="1"/>
  <c r="AL151" i="1"/>
  <c r="AH151" i="1"/>
  <c r="AA151" i="1"/>
  <c r="Y151" i="1"/>
  <c r="M151" i="1"/>
  <c r="I151" i="1"/>
  <c r="F151" i="1"/>
  <c r="AL150" i="1"/>
  <c r="AH150" i="1"/>
  <c r="AA150" i="1"/>
  <c r="Y150" i="1"/>
  <c r="M150" i="1"/>
  <c r="I150" i="1"/>
  <c r="F150" i="1"/>
  <c r="AL149" i="1"/>
  <c r="AH149" i="1"/>
  <c r="AA149" i="1"/>
  <c r="Y149" i="1"/>
  <c r="M149" i="1"/>
  <c r="I149" i="1"/>
  <c r="F149" i="1"/>
  <c r="AL148" i="1"/>
  <c r="AH148" i="1"/>
  <c r="AA148" i="1"/>
  <c r="Y148" i="1"/>
  <c r="M148" i="1"/>
  <c r="I148" i="1"/>
  <c r="F148" i="1"/>
  <c r="AL147" i="1"/>
  <c r="AH147" i="1"/>
  <c r="AA147" i="1"/>
  <c r="Y147" i="1"/>
  <c r="M147" i="1"/>
  <c r="I147" i="1"/>
  <c r="F147" i="1"/>
  <c r="AL146" i="1"/>
  <c r="AH146" i="1"/>
  <c r="AA146" i="1"/>
  <c r="Y146" i="1"/>
  <c r="M146" i="1"/>
  <c r="I146" i="1"/>
  <c r="F146" i="1"/>
  <c r="AL145" i="1"/>
  <c r="AH145" i="1"/>
  <c r="AA145" i="1"/>
  <c r="Y145" i="1"/>
  <c r="M145" i="1"/>
  <c r="I145" i="1"/>
  <c r="F145" i="1"/>
  <c r="AL144" i="1"/>
  <c r="AH144" i="1"/>
  <c r="AA144" i="1"/>
  <c r="Y144" i="1"/>
  <c r="M144" i="1"/>
  <c r="I144" i="1"/>
  <c r="F144" i="1"/>
  <c r="AL143" i="1"/>
  <c r="AH143" i="1"/>
  <c r="AA143" i="1"/>
  <c r="Y143" i="1"/>
  <c r="M143" i="1"/>
  <c r="I143" i="1"/>
  <c r="F143" i="1"/>
  <c r="AL142" i="1"/>
  <c r="AH142" i="1"/>
  <c r="AA142" i="1"/>
  <c r="Y142" i="1"/>
  <c r="M142" i="1"/>
  <c r="I142" i="1"/>
  <c r="F142" i="1"/>
  <c r="AL141" i="1"/>
  <c r="AH141" i="1"/>
  <c r="AA141" i="1"/>
  <c r="Y141" i="1"/>
  <c r="M141" i="1"/>
  <c r="I141" i="1"/>
  <c r="F141" i="1"/>
  <c r="AL140" i="1"/>
  <c r="AH140" i="1"/>
  <c r="AA140" i="1"/>
  <c r="Y140" i="1"/>
  <c r="M140" i="1"/>
  <c r="I140" i="1"/>
  <c r="F140" i="1"/>
  <c r="AL139" i="1"/>
  <c r="AH139" i="1"/>
  <c r="AA139" i="1"/>
  <c r="Y139" i="1"/>
  <c r="M139" i="1"/>
  <c r="I139" i="1"/>
  <c r="F139" i="1"/>
  <c r="AL138" i="1"/>
  <c r="AH138" i="1"/>
  <c r="AA138" i="1"/>
  <c r="Y138" i="1"/>
  <c r="M138" i="1"/>
  <c r="I138" i="1"/>
  <c r="F138" i="1"/>
  <c r="AL137" i="1"/>
  <c r="AH137" i="1"/>
  <c r="AA137" i="1"/>
  <c r="Y137" i="1"/>
  <c r="M137" i="1"/>
  <c r="I137" i="1"/>
  <c r="F137" i="1"/>
  <c r="AL136" i="1"/>
  <c r="AH136" i="1"/>
  <c r="AA136" i="1"/>
  <c r="Y136" i="1"/>
  <c r="M136" i="1"/>
  <c r="I136" i="1"/>
  <c r="F136" i="1"/>
  <c r="AL135" i="1"/>
  <c r="AH135" i="1"/>
  <c r="AA135" i="1"/>
  <c r="Y135" i="1"/>
  <c r="M135" i="1"/>
  <c r="I135" i="1"/>
  <c r="F135" i="1"/>
  <c r="AL134" i="1"/>
  <c r="AH134" i="1"/>
  <c r="AA134" i="1"/>
  <c r="Y134" i="1"/>
  <c r="M134" i="1"/>
  <c r="I134" i="1"/>
  <c r="F134" i="1"/>
  <c r="AL133" i="1"/>
  <c r="AH133" i="1"/>
  <c r="AA133" i="1"/>
  <c r="Y133" i="1"/>
  <c r="M133" i="1"/>
  <c r="I133" i="1"/>
  <c r="F133" i="1"/>
  <c r="AL132" i="1"/>
  <c r="AH132" i="1"/>
  <c r="AA132" i="1"/>
  <c r="Y132" i="1"/>
  <c r="M132" i="1"/>
  <c r="I132" i="1"/>
  <c r="F132" i="1"/>
  <c r="AL131" i="1"/>
  <c r="AH131" i="1"/>
  <c r="AA131" i="1"/>
  <c r="Y131" i="1"/>
  <c r="M131" i="1"/>
  <c r="I131" i="1"/>
  <c r="F131" i="1"/>
  <c r="AL130" i="1"/>
  <c r="AH130" i="1"/>
  <c r="AA130" i="1"/>
  <c r="Y130" i="1"/>
  <c r="M130" i="1"/>
  <c r="I130" i="1"/>
  <c r="F130" i="1"/>
  <c r="AL129" i="1"/>
  <c r="AH129" i="1"/>
  <c r="AA129" i="1"/>
  <c r="Y129" i="1"/>
  <c r="M129" i="1"/>
  <c r="I129" i="1"/>
  <c r="F129" i="1"/>
  <c r="AL128" i="1"/>
  <c r="AH128" i="1"/>
  <c r="AA128" i="1"/>
  <c r="Y128" i="1"/>
  <c r="M128" i="1"/>
  <c r="I128" i="1"/>
  <c r="F128" i="1"/>
  <c r="AL127" i="1"/>
  <c r="AH127" i="1"/>
  <c r="AA127" i="1"/>
  <c r="Y127" i="1"/>
  <c r="M127" i="1"/>
  <c r="I127" i="1"/>
  <c r="F127" i="1"/>
  <c r="AL126" i="1"/>
  <c r="AH126" i="1"/>
  <c r="AA126" i="1"/>
  <c r="Y126" i="1"/>
  <c r="M126" i="1"/>
  <c r="I126" i="1"/>
  <c r="F126" i="1"/>
  <c r="AL125" i="1"/>
  <c r="AH125" i="1"/>
  <c r="AA125" i="1"/>
  <c r="Y125" i="1"/>
  <c r="M125" i="1"/>
  <c r="I125" i="1"/>
  <c r="F125" i="1"/>
  <c r="AL124" i="1"/>
  <c r="AH124" i="1"/>
  <c r="AA124" i="1"/>
  <c r="Y124" i="1"/>
  <c r="M124" i="1"/>
  <c r="I124" i="1"/>
  <c r="F124" i="1"/>
  <c r="AL123" i="1"/>
  <c r="AH123" i="1"/>
  <c r="AA123" i="1"/>
  <c r="Y123" i="1"/>
  <c r="M123" i="1"/>
  <c r="I123" i="1"/>
  <c r="F123" i="1"/>
  <c r="AL122" i="1"/>
  <c r="AH122" i="1"/>
  <c r="AA122" i="1"/>
  <c r="Y122" i="1"/>
  <c r="M122" i="1"/>
  <c r="I122" i="1"/>
  <c r="F122" i="1"/>
  <c r="AL121" i="1"/>
  <c r="AH121" i="1"/>
  <c r="AA121" i="1"/>
  <c r="Y121" i="1"/>
  <c r="M121" i="1"/>
  <c r="I121" i="1"/>
  <c r="F121" i="1"/>
  <c r="AL120" i="1"/>
  <c r="AH120" i="1"/>
  <c r="AA120" i="1"/>
  <c r="Y120" i="1"/>
  <c r="M120" i="1"/>
  <c r="I120" i="1"/>
  <c r="F120" i="1"/>
  <c r="AL119" i="1"/>
  <c r="AH119" i="1"/>
  <c r="AA119" i="1"/>
  <c r="Y119" i="1"/>
  <c r="M119" i="1"/>
  <c r="I119" i="1"/>
  <c r="F119" i="1"/>
  <c r="AL118" i="1"/>
  <c r="AH118" i="1"/>
  <c r="AA118" i="1"/>
  <c r="Y118" i="1"/>
  <c r="M118" i="1"/>
  <c r="I118" i="1"/>
  <c r="F118" i="1"/>
  <c r="AL117" i="1"/>
  <c r="AH117" i="1"/>
  <c r="AA117" i="1"/>
  <c r="Y117" i="1"/>
  <c r="M117" i="1"/>
  <c r="I117" i="1"/>
  <c r="F117" i="1"/>
  <c r="AL116" i="1"/>
  <c r="AH116" i="1"/>
  <c r="AA116" i="1"/>
  <c r="Y116" i="1"/>
  <c r="M116" i="1"/>
  <c r="I116" i="1"/>
  <c r="F116" i="1"/>
  <c r="AL115" i="1"/>
  <c r="AH115" i="1"/>
  <c r="AA115" i="1"/>
  <c r="Y115" i="1"/>
  <c r="M115" i="1"/>
  <c r="I115" i="1"/>
  <c r="F115" i="1"/>
  <c r="AL114" i="1"/>
  <c r="AH114" i="1"/>
  <c r="AA114" i="1"/>
  <c r="Y114" i="1"/>
  <c r="M114" i="1"/>
  <c r="I114" i="1"/>
  <c r="F114" i="1"/>
  <c r="AL113" i="1"/>
  <c r="AH113" i="1"/>
  <c r="AA113" i="1"/>
  <c r="Y113" i="1"/>
  <c r="M113" i="1"/>
  <c r="I113" i="1"/>
  <c r="F113" i="1"/>
  <c r="AL112" i="1"/>
  <c r="AH112" i="1"/>
  <c r="AA112" i="1"/>
  <c r="Y112" i="1"/>
  <c r="M112" i="1"/>
  <c r="I112" i="1"/>
  <c r="F112" i="1"/>
  <c r="AL111" i="1"/>
  <c r="AH111" i="1"/>
  <c r="AA111" i="1"/>
  <c r="Y111" i="1"/>
  <c r="M111" i="1"/>
  <c r="I111" i="1"/>
  <c r="F111" i="1"/>
  <c r="AL110" i="1"/>
  <c r="AH110" i="1"/>
  <c r="AA110" i="1"/>
  <c r="Y110" i="1"/>
  <c r="M110" i="1"/>
  <c r="I110" i="1"/>
  <c r="F110" i="1"/>
  <c r="AL109" i="1"/>
  <c r="AH109" i="1"/>
  <c r="AA109" i="1"/>
  <c r="Y109" i="1"/>
  <c r="M109" i="1"/>
  <c r="I109" i="1"/>
  <c r="F109" i="1"/>
  <c r="AL108" i="1"/>
  <c r="AH108" i="1"/>
  <c r="AA108" i="1"/>
  <c r="Y108" i="1"/>
  <c r="M108" i="1"/>
  <c r="I108" i="1"/>
  <c r="F108" i="1"/>
  <c r="AL107" i="1"/>
  <c r="AH107" i="1"/>
  <c r="AA107" i="1"/>
  <c r="Y107" i="1"/>
  <c r="M107" i="1"/>
  <c r="I107" i="1"/>
  <c r="F107" i="1"/>
  <c r="AL106" i="1"/>
  <c r="AH106" i="1"/>
  <c r="AA106" i="1"/>
  <c r="Y106" i="1"/>
  <c r="M106" i="1"/>
  <c r="I106" i="1"/>
  <c r="F106" i="1"/>
  <c r="AL105" i="1"/>
  <c r="AH105" i="1"/>
  <c r="AA105" i="1"/>
  <c r="Y105" i="1"/>
  <c r="M105" i="1"/>
  <c r="I105" i="1"/>
  <c r="F105" i="1"/>
  <c r="AL104" i="1"/>
  <c r="AH104" i="1"/>
  <c r="AA104" i="1"/>
  <c r="Y104" i="1"/>
  <c r="M104" i="1"/>
  <c r="I104" i="1"/>
  <c r="F104" i="1"/>
  <c r="AL103" i="1"/>
  <c r="AH103" i="1"/>
  <c r="AA103" i="1"/>
  <c r="Y103" i="1"/>
  <c r="M103" i="1"/>
  <c r="I103" i="1"/>
  <c r="F103" i="1"/>
  <c r="AL102" i="1"/>
  <c r="AH102" i="1"/>
  <c r="AA102" i="1"/>
  <c r="Y102" i="1"/>
  <c r="M102" i="1"/>
  <c r="I102" i="1"/>
  <c r="F102" i="1"/>
  <c r="AL101" i="1"/>
  <c r="AH101" i="1"/>
  <c r="AA101" i="1"/>
  <c r="Y101" i="1"/>
  <c r="M101" i="1"/>
  <c r="I101" i="1"/>
  <c r="F101" i="1"/>
  <c r="AL100" i="1"/>
  <c r="AH100" i="1"/>
  <c r="AA100" i="1"/>
  <c r="Y100" i="1"/>
  <c r="M100" i="1"/>
  <c r="I100" i="1"/>
  <c r="F100" i="1"/>
  <c r="AL99" i="1"/>
  <c r="AH99" i="1"/>
  <c r="AA99" i="1"/>
  <c r="Y99" i="1"/>
  <c r="M99" i="1"/>
  <c r="I99" i="1"/>
  <c r="F99" i="1"/>
  <c r="AL98" i="1"/>
  <c r="AH98" i="1"/>
  <c r="AA98" i="1"/>
  <c r="Y98" i="1"/>
  <c r="M98" i="1"/>
  <c r="I98" i="1"/>
  <c r="F98" i="1"/>
  <c r="AL97" i="1"/>
  <c r="AH97" i="1"/>
  <c r="AA97" i="1"/>
  <c r="Y97" i="1"/>
  <c r="M97" i="1"/>
  <c r="I97" i="1"/>
  <c r="F97" i="1"/>
  <c r="AL96" i="1"/>
  <c r="AH96" i="1"/>
  <c r="AA96" i="1"/>
  <c r="Y96" i="1"/>
  <c r="M96" i="1"/>
  <c r="I96" i="1"/>
  <c r="F96" i="1"/>
  <c r="AL95" i="1"/>
  <c r="AH95" i="1"/>
  <c r="AA95" i="1"/>
  <c r="Y95" i="1"/>
  <c r="M95" i="1"/>
  <c r="I95" i="1"/>
  <c r="F95" i="1"/>
  <c r="AL94" i="1"/>
  <c r="AH94" i="1"/>
  <c r="AA94" i="1"/>
  <c r="Y94" i="1"/>
  <c r="M94" i="1"/>
  <c r="I94" i="1"/>
  <c r="F94" i="1"/>
  <c r="AL93" i="1"/>
  <c r="AH93" i="1"/>
  <c r="AA93" i="1"/>
  <c r="Y93" i="1"/>
  <c r="M93" i="1"/>
  <c r="I93" i="1"/>
  <c r="F93" i="1"/>
  <c r="AL92" i="1"/>
  <c r="AH92" i="1"/>
  <c r="AA92" i="1"/>
  <c r="Y92" i="1"/>
  <c r="M92" i="1"/>
  <c r="I92" i="1"/>
  <c r="F92" i="1"/>
  <c r="AL91" i="1"/>
  <c r="AH91" i="1"/>
  <c r="AA91" i="1"/>
  <c r="Y91" i="1"/>
  <c r="M91" i="1"/>
  <c r="I91" i="1"/>
  <c r="F91" i="1"/>
  <c r="AL90" i="1"/>
  <c r="AH90" i="1"/>
  <c r="AA90" i="1"/>
  <c r="Y90" i="1"/>
  <c r="M90" i="1"/>
  <c r="I90" i="1"/>
  <c r="F90" i="1"/>
  <c r="AL89" i="1"/>
  <c r="AH89" i="1"/>
  <c r="AA89" i="1"/>
  <c r="Y89" i="1"/>
  <c r="M89" i="1"/>
  <c r="I89" i="1"/>
  <c r="F89" i="1"/>
  <c r="AL88" i="1"/>
  <c r="AH88" i="1"/>
  <c r="AA88" i="1"/>
  <c r="Y88" i="1"/>
  <c r="M88" i="1"/>
  <c r="I88" i="1"/>
  <c r="F88" i="1"/>
  <c r="AL87" i="1"/>
  <c r="AH87" i="1"/>
  <c r="AA87" i="1"/>
  <c r="Y87" i="1"/>
  <c r="M87" i="1"/>
  <c r="I87" i="1"/>
  <c r="F87" i="1"/>
  <c r="AL86" i="1"/>
  <c r="AH86" i="1"/>
  <c r="AA86" i="1"/>
  <c r="Y86" i="1"/>
  <c r="M86" i="1"/>
  <c r="I86" i="1"/>
  <c r="F86" i="1"/>
  <c r="AL85" i="1"/>
  <c r="AH85" i="1"/>
  <c r="AA85" i="1"/>
  <c r="Y85" i="1"/>
  <c r="M85" i="1"/>
  <c r="I85" i="1"/>
  <c r="F85" i="1"/>
  <c r="AL84" i="1"/>
  <c r="AH84" i="1"/>
  <c r="AA84" i="1"/>
  <c r="Y84" i="1"/>
  <c r="M84" i="1"/>
  <c r="I84" i="1"/>
  <c r="F84" i="1"/>
  <c r="AL83" i="1"/>
  <c r="AH83" i="1"/>
  <c r="AA83" i="1"/>
  <c r="Y83" i="1"/>
  <c r="M83" i="1"/>
  <c r="I83" i="1"/>
  <c r="F83" i="1"/>
  <c r="AL82" i="1"/>
  <c r="AH82" i="1"/>
  <c r="AA82" i="1"/>
  <c r="Y82" i="1"/>
  <c r="M82" i="1"/>
  <c r="I82" i="1"/>
  <c r="F82" i="1"/>
  <c r="AL81" i="1"/>
  <c r="AH81" i="1"/>
  <c r="AA81" i="1"/>
  <c r="Y81" i="1"/>
  <c r="M81" i="1"/>
  <c r="I81" i="1"/>
  <c r="F81" i="1"/>
  <c r="AL80" i="1"/>
  <c r="AH80" i="1"/>
  <c r="AA80" i="1"/>
  <c r="Y80" i="1"/>
  <c r="M80" i="1"/>
  <c r="I80" i="1"/>
  <c r="F80" i="1"/>
  <c r="AL79" i="1"/>
  <c r="AH79" i="1"/>
  <c r="AA79" i="1"/>
  <c r="Y79" i="1"/>
  <c r="M79" i="1"/>
  <c r="I79" i="1"/>
  <c r="F79" i="1"/>
  <c r="AL78" i="1"/>
  <c r="AH78" i="1"/>
  <c r="AA78" i="1"/>
  <c r="Y78" i="1"/>
  <c r="M78" i="1"/>
  <c r="I78" i="1"/>
  <c r="F78" i="1"/>
  <c r="AL77" i="1"/>
  <c r="AH77" i="1"/>
  <c r="AA77" i="1"/>
  <c r="Y77" i="1"/>
  <c r="M77" i="1"/>
  <c r="I77" i="1"/>
  <c r="F77" i="1"/>
  <c r="AL76" i="1"/>
  <c r="AH76" i="1"/>
  <c r="AA76" i="1"/>
  <c r="Y76" i="1"/>
  <c r="M76" i="1"/>
  <c r="I76" i="1"/>
  <c r="F76" i="1"/>
  <c r="AL75" i="1"/>
  <c r="AH75" i="1"/>
  <c r="AA75" i="1"/>
  <c r="Y75" i="1"/>
  <c r="M75" i="1"/>
  <c r="I75" i="1"/>
  <c r="F75" i="1"/>
  <c r="AL74" i="1"/>
  <c r="AH74" i="1"/>
  <c r="AA74" i="1"/>
  <c r="Y74" i="1"/>
  <c r="M74" i="1"/>
  <c r="I74" i="1"/>
  <c r="F74" i="1"/>
  <c r="AL73" i="1"/>
  <c r="AH73" i="1"/>
  <c r="AA73" i="1"/>
  <c r="Y73" i="1"/>
  <c r="M73" i="1"/>
  <c r="I73" i="1"/>
  <c r="F73" i="1"/>
  <c r="AL72" i="1"/>
  <c r="AH72" i="1"/>
  <c r="AA72" i="1"/>
  <c r="Y72" i="1"/>
  <c r="M72" i="1"/>
  <c r="I72" i="1"/>
  <c r="F72" i="1"/>
  <c r="AL71" i="1"/>
  <c r="AH71" i="1"/>
  <c r="AA71" i="1"/>
  <c r="Y71" i="1"/>
  <c r="M71" i="1"/>
  <c r="I71" i="1"/>
  <c r="F71" i="1"/>
  <c r="AL70" i="1"/>
  <c r="AH70" i="1"/>
  <c r="AA70" i="1"/>
  <c r="Y70" i="1"/>
  <c r="M70" i="1"/>
  <c r="I70" i="1"/>
  <c r="F70" i="1"/>
  <c r="AL69" i="1"/>
  <c r="AH69" i="1"/>
  <c r="AA69" i="1"/>
  <c r="Y69" i="1"/>
  <c r="M69" i="1"/>
  <c r="I69" i="1"/>
  <c r="F69" i="1"/>
  <c r="AL68" i="1"/>
  <c r="AH68" i="1"/>
  <c r="AA68" i="1"/>
  <c r="Y68" i="1"/>
  <c r="M68" i="1"/>
  <c r="I68" i="1"/>
  <c r="F68" i="1"/>
  <c r="AL67" i="1"/>
  <c r="AH67" i="1"/>
  <c r="AA67" i="1"/>
  <c r="Y67" i="1"/>
  <c r="M67" i="1"/>
  <c r="I67" i="1"/>
  <c r="F67" i="1"/>
  <c r="AL66" i="1"/>
  <c r="AH66" i="1"/>
  <c r="AA66" i="1"/>
  <c r="Y66" i="1"/>
  <c r="M66" i="1"/>
  <c r="I66" i="1"/>
  <c r="F66" i="1"/>
  <c r="AL65" i="1"/>
  <c r="AH65" i="1"/>
  <c r="AA65" i="1"/>
  <c r="Y65" i="1"/>
  <c r="M65" i="1"/>
  <c r="I65" i="1"/>
  <c r="F65" i="1"/>
  <c r="AL64" i="1"/>
  <c r="AH64" i="1"/>
  <c r="AA64" i="1"/>
  <c r="Y64" i="1"/>
  <c r="M64" i="1"/>
  <c r="I64" i="1"/>
  <c r="F64" i="1"/>
  <c r="AL63" i="1"/>
  <c r="AH63" i="1"/>
  <c r="AA63" i="1"/>
  <c r="Y63" i="1"/>
  <c r="M63" i="1"/>
  <c r="I63" i="1"/>
  <c r="F63" i="1"/>
  <c r="AL62" i="1"/>
  <c r="AH62" i="1"/>
  <c r="AA62" i="1"/>
  <c r="Y62" i="1"/>
  <c r="M62" i="1"/>
  <c r="I62" i="1"/>
  <c r="F62" i="1"/>
  <c r="AL61" i="1"/>
  <c r="AH61" i="1"/>
  <c r="AA61" i="1"/>
  <c r="Y61" i="1"/>
  <c r="M61" i="1"/>
  <c r="I61" i="1"/>
  <c r="F61" i="1"/>
  <c r="AL60" i="1"/>
  <c r="AH60" i="1"/>
  <c r="AA60" i="1"/>
  <c r="Y60" i="1"/>
  <c r="M60" i="1"/>
  <c r="I60" i="1"/>
  <c r="F60" i="1"/>
  <c r="AL59" i="1"/>
  <c r="AH59" i="1"/>
  <c r="AA59" i="1"/>
  <c r="Y59" i="1"/>
  <c r="M59" i="1"/>
  <c r="I59" i="1"/>
  <c r="F59" i="1"/>
  <c r="AL58" i="1"/>
  <c r="AH58" i="1"/>
  <c r="AA58" i="1"/>
  <c r="Y58" i="1"/>
  <c r="M58" i="1"/>
  <c r="I58" i="1"/>
  <c r="F58" i="1"/>
  <c r="AL57" i="1"/>
  <c r="AH57" i="1"/>
  <c r="AA57" i="1"/>
  <c r="Y57" i="1"/>
  <c r="M57" i="1"/>
  <c r="I57" i="1"/>
  <c r="F57" i="1"/>
  <c r="AL56" i="1"/>
  <c r="AH56" i="1"/>
  <c r="AA56" i="1"/>
  <c r="Y56" i="1"/>
  <c r="M56" i="1"/>
  <c r="I56" i="1"/>
  <c r="F56" i="1"/>
  <c r="AL55" i="1"/>
  <c r="AH55" i="1"/>
  <c r="AA55" i="1"/>
  <c r="Y55" i="1"/>
  <c r="M55" i="1"/>
  <c r="I55" i="1"/>
  <c r="F55" i="1"/>
  <c r="AL54" i="1"/>
  <c r="AH54" i="1"/>
  <c r="AA54" i="1"/>
  <c r="Y54" i="1"/>
  <c r="M54" i="1"/>
  <c r="I54" i="1"/>
  <c r="F54" i="1"/>
  <c r="AL53" i="1"/>
  <c r="AH53" i="1"/>
  <c r="AA53" i="1"/>
  <c r="Y53" i="1"/>
  <c r="M53" i="1"/>
  <c r="I53" i="1"/>
  <c r="F53" i="1"/>
  <c r="AL52" i="1"/>
  <c r="AH52" i="1"/>
  <c r="AA52" i="1"/>
  <c r="Y52" i="1"/>
  <c r="M52" i="1"/>
  <c r="I52" i="1"/>
  <c r="F52" i="1"/>
  <c r="AL51" i="1"/>
  <c r="AH51" i="1"/>
  <c r="AA51" i="1"/>
  <c r="Y51" i="1"/>
  <c r="M51" i="1"/>
  <c r="I51" i="1"/>
  <c r="F51" i="1"/>
  <c r="AL50" i="1"/>
  <c r="AH50" i="1"/>
  <c r="AA50" i="1"/>
  <c r="Y50" i="1"/>
  <c r="M50" i="1"/>
  <c r="I50" i="1"/>
  <c r="F50" i="1"/>
  <c r="AL49" i="1"/>
  <c r="AH49" i="1"/>
  <c r="AA49" i="1"/>
  <c r="Y49" i="1"/>
  <c r="M49" i="1"/>
  <c r="I49" i="1"/>
  <c r="F49" i="1"/>
  <c r="AL48" i="1"/>
  <c r="AH48" i="1"/>
  <c r="AA48" i="1"/>
  <c r="Y48" i="1"/>
  <c r="M48" i="1"/>
  <c r="I48" i="1"/>
  <c r="F48" i="1"/>
  <c r="AL47" i="1"/>
  <c r="AH47" i="1"/>
  <c r="AA47" i="1"/>
  <c r="Y47" i="1"/>
  <c r="M47" i="1"/>
  <c r="I47" i="1"/>
  <c r="F47" i="1"/>
  <c r="AL46" i="1"/>
  <c r="AH46" i="1"/>
  <c r="AA46" i="1"/>
  <c r="Y46" i="1"/>
  <c r="M46" i="1"/>
  <c r="I46" i="1"/>
  <c r="F46" i="1"/>
  <c r="AL45" i="1"/>
  <c r="AH45" i="1"/>
  <c r="AA45" i="1"/>
  <c r="Y45" i="1"/>
  <c r="M45" i="1"/>
  <c r="I45" i="1"/>
  <c r="F45" i="1"/>
  <c r="AL44" i="1"/>
  <c r="AH44" i="1"/>
  <c r="AA44" i="1"/>
  <c r="Y44" i="1"/>
  <c r="M44" i="1"/>
  <c r="I44" i="1"/>
  <c r="F44" i="1"/>
  <c r="AL43" i="1"/>
  <c r="AH43" i="1"/>
  <c r="AA43" i="1"/>
  <c r="Y43" i="1"/>
  <c r="M43" i="1"/>
  <c r="I43" i="1"/>
  <c r="F43" i="1"/>
  <c r="AL42" i="1"/>
  <c r="AH42" i="1"/>
  <c r="AA42" i="1"/>
  <c r="Y42" i="1"/>
  <c r="M42" i="1"/>
  <c r="I42" i="1"/>
  <c r="F42" i="1"/>
  <c r="AL41" i="1"/>
  <c r="AH41" i="1"/>
  <c r="AA41" i="1"/>
  <c r="Y41" i="1"/>
  <c r="M41" i="1"/>
  <c r="I41" i="1"/>
  <c r="F41" i="1"/>
  <c r="AL40" i="1"/>
  <c r="AH40" i="1"/>
  <c r="AA40" i="1"/>
  <c r="Y40" i="1"/>
  <c r="M40" i="1"/>
  <c r="I40" i="1"/>
  <c r="F40" i="1"/>
  <c r="AL39" i="1"/>
  <c r="AH39" i="1"/>
  <c r="AA39" i="1"/>
  <c r="Y39" i="1"/>
  <c r="M39" i="1"/>
  <c r="I39" i="1"/>
  <c r="F39" i="1"/>
  <c r="AL38" i="1"/>
  <c r="AH38" i="1"/>
  <c r="AA38" i="1"/>
  <c r="Y38" i="1"/>
  <c r="M38" i="1"/>
  <c r="I38" i="1"/>
  <c r="F38" i="1"/>
  <c r="AL37" i="1"/>
  <c r="AH37" i="1"/>
  <c r="AA37" i="1"/>
  <c r="Y37" i="1"/>
  <c r="M37" i="1"/>
  <c r="I37" i="1"/>
  <c r="F37" i="1"/>
  <c r="AL36" i="1"/>
  <c r="AH36" i="1"/>
  <c r="AA36" i="1"/>
  <c r="Y36" i="1"/>
  <c r="M36" i="1"/>
  <c r="I36" i="1"/>
  <c r="F36" i="1"/>
  <c r="AL35" i="1"/>
  <c r="AH35" i="1"/>
  <c r="AA35" i="1"/>
  <c r="Y35" i="1"/>
  <c r="M35" i="1"/>
  <c r="I35" i="1"/>
  <c r="F35" i="1"/>
  <c r="AL34" i="1"/>
  <c r="AH34" i="1"/>
  <c r="AA34" i="1"/>
  <c r="Y34" i="1"/>
  <c r="M34" i="1"/>
  <c r="I34" i="1"/>
  <c r="F34" i="1"/>
  <c r="AL33" i="1"/>
  <c r="AH33" i="1"/>
  <c r="AA33" i="1"/>
  <c r="Y33" i="1"/>
  <c r="M33" i="1"/>
  <c r="I33" i="1"/>
  <c r="F33" i="1"/>
  <c r="AL32" i="1"/>
  <c r="AH32" i="1"/>
  <c r="AA32" i="1"/>
  <c r="Y32" i="1"/>
  <c r="M32" i="1"/>
  <c r="I32" i="1"/>
  <c r="F32" i="1"/>
  <c r="AL31" i="1"/>
  <c r="AH31" i="1"/>
  <c r="AA31" i="1"/>
  <c r="Y31" i="1"/>
  <c r="M31" i="1"/>
  <c r="I31" i="1"/>
  <c r="F31" i="1"/>
  <c r="AL30" i="1"/>
  <c r="AH30" i="1"/>
  <c r="AA30" i="1"/>
  <c r="Y30" i="1"/>
  <c r="M30" i="1"/>
  <c r="I30" i="1"/>
  <c r="F30" i="1"/>
  <c r="AL29" i="1"/>
  <c r="AH29" i="1"/>
  <c r="AA29" i="1"/>
  <c r="Y29" i="1"/>
  <c r="M29" i="1"/>
  <c r="I29" i="1"/>
  <c r="F29" i="1"/>
  <c r="AL28" i="1"/>
  <c r="AH28" i="1"/>
  <c r="AA28" i="1"/>
  <c r="Y28" i="1"/>
  <c r="M28" i="1"/>
  <c r="I28" i="1"/>
  <c r="F28" i="1"/>
  <c r="AL27" i="1"/>
  <c r="AH27" i="1"/>
  <c r="AA27" i="1"/>
  <c r="Y27" i="1"/>
  <c r="M27" i="1"/>
  <c r="I27" i="1"/>
  <c r="F27" i="1"/>
  <c r="AL26" i="1"/>
  <c r="AH26" i="1"/>
  <c r="AA26" i="1"/>
  <c r="Y26" i="1"/>
  <c r="M26" i="1"/>
  <c r="I26" i="1"/>
  <c r="F26" i="1"/>
  <c r="AL25" i="1"/>
  <c r="AH25" i="1"/>
  <c r="AA25" i="1"/>
  <c r="Y25" i="1"/>
  <c r="M25" i="1"/>
  <c r="I25" i="1"/>
  <c r="F25" i="1"/>
  <c r="AL24" i="1"/>
  <c r="AH24" i="1"/>
  <c r="AA24" i="1"/>
  <c r="Y24" i="1"/>
  <c r="M24" i="1"/>
  <c r="I24" i="1"/>
  <c r="F24" i="1"/>
  <c r="AL23" i="1"/>
  <c r="AH23" i="1"/>
  <c r="AA23" i="1"/>
  <c r="Y23" i="1"/>
  <c r="M23" i="1"/>
  <c r="I23" i="1"/>
  <c r="F23" i="1"/>
  <c r="AL22" i="1"/>
  <c r="AH22" i="1"/>
  <c r="AA22" i="1"/>
  <c r="Y22" i="1"/>
  <c r="M22" i="1"/>
  <c r="I22" i="1"/>
  <c r="F22" i="1"/>
  <c r="AL21" i="1"/>
  <c r="AH21" i="1"/>
  <c r="AA21" i="1"/>
  <c r="Y21" i="1"/>
  <c r="M21" i="1"/>
  <c r="I21" i="1"/>
  <c r="F21" i="1"/>
  <c r="AL20" i="1"/>
  <c r="AH20" i="1"/>
  <c r="AA20" i="1"/>
  <c r="Y20" i="1"/>
  <c r="M20" i="1"/>
  <c r="I20" i="1"/>
  <c r="F20" i="1"/>
  <c r="AL19" i="1"/>
  <c r="AH19" i="1"/>
  <c r="AA19" i="1"/>
  <c r="Y19" i="1"/>
  <c r="M19" i="1"/>
  <c r="I19" i="1"/>
  <c r="F19" i="1"/>
  <c r="AL18" i="1"/>
  <c r="AH18" i="1"/>
  <c r="AA18" i="1"/>
  <c r="Y18" i="1"/>
  <c r="M18" i="1"/>
  <c r="I18" i="1"/>
  <c r="F18" i="1"/>
  <c r="AL17" i="1"/>
  <c r="AH17" i="1"/>
  <c r="AA17" i="1"/>
  <c r="Y17" i="1"/>
  <c r="M17" i="1"/>
  <c r="I17" i="1"/>
  <c r="F17" i="1"/>
  <c r="AL16" i="1"/>
  <c r="AH16" i="1"/>
  <c r="AA16" i="1"/>
  <c r="Y16" i="1"/>
  <c r="M16" i="1"/>
  <c r="I16" i="1"/>
  <c r="F16" i="1"/>
  <c r="AL15" i="1"/>
  <c r="AH15" i="1"/>
  <c r="AA15" i="1"/>
  <c r="Y15" i="1"/>
  <c r="M15" i="1"/>
  <c r="I15" i="1"/>
  <c r="F15" i="1"/>
  <c r="AL14" i="1"/>
  <c r="AH14" i="1"/>
  <c r="AA14" i="1"/>
  <c r="Y14" i="1"/>
  <c r="M14" i="1"/>
  <c r="I14" i="1"/>
  <c r="F14" i="1"/>
  <c r="AL13" i="1"/>
  <c r="AH13" i="1"/>
  <c r="AA13" i="1"/>
  <c r="Y13" i="1"/>
  <c r="M13" i="1"/>
  <c r="I13" i="1"/>
  <c r="F13" i="1"/>
  <c r="AL12" i="1"/>
  <c r="AH12" i="1"/>
  <c r="AA12" i="1"/>
  <c r="Y12" i="1"/>
  <c r="M12" i="1"/>
  <c r="I12" i="1"/>
  <c r="F12" i="1"/>
  <c r="AL11" i="1"/>
  <c r="AH11" i="1"/>
  <c r="AA11" i="1"/>
  <c r="Y11" i="1"/>
  <c r="M11" i="1"/>
  <c r="I11" i="1"/>
  <c r="F11" i="1"/>
  <c r="AL10" i="1"/>
  <c r="AH10" i="1"/>
  <c r="AA10" i="1"/>
  <c r="Y10" i="1"/>
  <c r="M10" i="1"/>
  <c r="I10" i="1"/>
  <c r="F10" i="1"/>
  <c r="AL9" i="1"/>
  <c r="AH9" i="1"/>
  <c r="AA9" i="1"/>
  <c r="Y9" i="1"/>
  <c r="M9" i="1"/>
  <c r="I9" i="1"/>
  <c r="F9" i="1"/>
  <c r="AL8" i="1"/>
  <c r="AH8" i="1"/>
  <c r="AA8" i="1"/>
  <c r="Y8" i="1"/>
  <c r="M8" i="1"/>
  <c r="I8" i="1"/>
  <c r="F8" i="1"/>
  <c r="AL7" i="1"/>
  <c r="AH7" i="1"/>
  <c r="AA7" i="1"/>
  <c r="Y7" i="1"/>
  <c r="M7" i="1"/>
  <c r="I7" i="1"/>
  <c r="F7" i="1"/>
  <c r="AL6" i="1"/>
  <c r="AH6" i="1"/>
  <c r="AA6" i="1"/>
  <c r="Y6" i="1"/>
  <c r="M6" i="1"/>
  <c r="I6" i="1"/>
  <c r="F6" i="1"/>
  <c r="AL5" i="1"/>
  <c r="AH5" i="1"/>
  <c r="AA5" i="1"/>
  <c r="Y5" i="1"/>
  <c r="M5" i="1"/>
  <c r="I5" i="1"/>
  <c r="F5" i="1"/>
  <c r="AL4" i="1"/>
  <c r="AH4" i="1"/>
  <c r="AA4" i="1"/>
  <c r="Y4" i="1"/>
  <c r="M4" i="1"/>
  <c r="I4" i="1"/>
  <c r="F4" i="1"/>
  <c r="AL3" i="1"/>
  <c r="AH3" i="1"/>
  <c r="AA3" i="1"/>
  <c r="Y3" i="1"/>
  <c r="M3" i="1"/>
  <c r="I3" i="1"/>
  <c r="F3" i="1"/>
  <c r="AL2" i="1"/>
  <c r="AH2" i="1"/>
  <c r="AA2" i="1"/>
  <c r="Y2" i="1"/>
  <c r="M2" i="1"/>
  <c r="I2" i="1"/>
  <c r="F2" i="1"/>
</calcChain>
</file>

<file path=xl/sharedStrings.xml><?xml version="1.0" encoding="utf-8"?>
<sst xmlns="http://schemas.openxmlformats.org/spreadsheetml/2006/main" count="3135" uniqueCount="1353">
  <si>
    <t>Registrikood</t>
  </si>
  <si>
    <t>Firma nimi</t>
  </si>
  <si>
    <t>Registreerimise kuupäev</t>
  </si>
  <si>
    <t>Staatus</t>
  </si>
  <si>
    <t>Aadress</t>
  </si>
  <si>
    <t>Otsustajad ja kasusaajad</t>
  </si>
  <si>
    <t>Email</t>
  </si>
  <si>
    <t>Telefon</t>
  </si>
  <si>
    <t>Veeb</t>
  </si>
  <si>
    <t>Sektor</t>
  </si>
  <si>
    <t>EMTAK</t>
  </si>
  <si>
    <t>EMTAK lühikirjeldus</t>
  </si>
  <si>
    <t>Meedia, tooted  ja teenused</t>
  </si>
  <si>
    <t>KMKR nr</t>
  </si>
  <si>
    <t>KMKR algus</t>
  </si>
  <si>
    <t>KMKR lõpp</t>
  </si>
  <si>
    <t>Krediidilimiit (soovituslik)</t>
  </si>
  <si>
    <t>Viimane aasta aruanne</t>
  </si>
  <si>
    <t>Maksuvõlg (€)</t>
  </si>
  <si>
    <t>Maksuvõla algus kpv</t>
  </si>
  <si>
    <t>Eravõlad (€)</t>
  </si>
  <si>
    <t>Krediidiskoor</t>
  </si>
  <si>
    <t>Riskiklassi kirjeldus</t>
  </si>
  <si>
    <t>Krediidipoliitika</t>
  </si>
  <si>
    <t>Kohustused ja võlad</t>
  </si>
  <si>
    <t>Maineskoor</t>
  </si>
  <si>
    <t>Finantsid ja varad</t>
  </si>
  <si>
    <t>Riiklikud maksud (€)</t>
  </si>
  <si>
    <t>Tööjõumaksud (€)</t>
  </si>
  <si>
    <t>Käive (€)</t>
  </si>
  <si>
    <t>Töötajate arv</t>
  </si>
  <si>
    <t>Prognooskäive (€)</t>
  </si>
  <si>
    <t>Keskmine palk (€)</t>
  </si>
  <si>
    <t>Töötajad, palgad, kontaktid</t>
  </si>
  <si>
    <t>Juhatuse liikme nimi</t>
  </si>
  <si>
    <t>Juhatuse liikme kaalutud krediidiskoor</t>
  </si>
  <si>
    <t>Juhatuse liikme äririski klass</t>
  </si>
  <si>
    <t>Juhatuse liikme CV URL</t>
  </si>
  <si>
    <t>ASULA OÜ</t>
  </si>
  <si>
    <t>Registrisse kantud</t>
  </si>
  <si>
    <t>Hõbekuuse, 76305, Kernu küla, Saue vald, Harju maakond, Eesti Vabariik</t>
  </si>
  <si>
    <t>info@asula.ee</t>
  </si>
  <si>
    <t>5130191</t>
  </si>
  <si>
    <t>G</t>
  </si>
  <si>
    <t>47991</t>
  </si>
  <si>
    <t>Muu jaemüük</t>
  </si>
  <si>
    <t>EE101031020</t>
  </si>
  <si>
    <t>-</t>
  </si>
  <si>
    <t>Usaldusväärne</t>
  </si>
  <si>
    <t>Müü tavatingimustel</t>
  </si>
  <si>
    <t>Rain Saar</t>
  </si>
  <si>
    <t>Neutraalne</t>
  </si>
  <si>
    <t>HURTIGRUTEN ESTONIA OÜ</t>
  </si>
  <si>
    <t>Narva mnt 63/3, 10120, Tallinn linn, Harju maakond, Eesti Vabariik</t>
  </si>
  <si>
    <t>Tiivi.Kukk@hurtigruten.com</t>
  </si>
  <si>
    <t>56213002, 6848074, 51927094</t>
  </si>
  <si>
    <t>N</t>
  </si>
  <si>
    <t>79901</t>
  </si>
  <si>
    <t>Reisimisega seotud tegevused</t>
  </si>
  <si>
    <t>EE101414249</t>
  </si>
  <si>
    <t>Torleif Ernstsen</t>
  </si>
  <si>
    <t>L</t>
  </si>
  <si>
    <t>K</t>
  </si>
  <si>
    <t>66199</t>
  </si>
  <si>
    <t>Finantsteenuste abitegevused</t>
  </si>
  <si>
    <t>P</t>
  </si>
  <si>
    <t>85102</t>
  </si>
  <si>
    <t>Lasteaia tegevused</t>
  </si>
  <si>
    <t>Tartu Linnavalitsus</t>
  </si>
  <si>
    <t>Raekoja plats 1a, 50089, Tartu linn, Tartu linn, Tartu maakond, Eesti Vabariik</t>
  </si>
  <si>
    <t>lv@raad.tartu.ee</t>
  </si>
  <si>
    <t>7361101</t>
  </si>
  <si>
    <t>O</t>
  </si>
  <si>
    <t>84114</t>
  </si>
  <si>
    <t>Valla- ja linnavalitsuste tegevus</t>
  </si>
  <si>
    <t>EE100670291</t>
  </si>
  <si>
    <t>Urmas Klaas</t>
  </si>
  <si>
    <t>SIVEX INTERNATIONAL OÜ</t>
  </si>
  <si>
    <t>Paide mnt 9, 80042, Pärnu linn, Pärnu maakond, Eesti Vabariik</t>
  </si>
  <si>
    <t>sivex@sivex.ee</t>
  </si>
  <si>
    <t>4437967, 4459930</t>
  </si>
  <si>
    <t>H</t>
  </si>
  <si>
    <t>52101</t>
  </si>
  <si>
    <t>Kaubaladude töö</t>
  </si>
  <si>
    <t>EE100140284</t>
  </si>
  <si>
    <t>Victor Novokreshchenov</t>
  </si>
  <si>
    <t>BETOONISEPAD OÜ</t>
  </si>
  <si>
    <t>Kivikalme tee 5, 75321, Kopli küla, Rae vald, Harju maakond, Eesti Vabariik</t>
  </si>
  <si>
    <t>info@betoonisepad.com, ley.jaanberg@mail.ee</t>
  </si>
  <si>
    <t>56659771</t>
  </si>
  <si>
    <t>F</t>
  </si>
  <si>
    <t>42111</t>
  </si>
  <si>
    <t>Teede ehitus</t>
  </si>
  <si>
    <t>EE101050674</t>
  </si>
  <si>
    <t>Ley Jaanberg</t>
  </si>
  <si>
    <t>SANGAR KINNISVARA OÜ</t>
  </si>
  <si>
    <t>Tartu linn, Sõpruse pst 2/1, 50050, Tartu linn, Tartu maakond, Eesti Vabariik</t>
  </si>
  <si>
    <t>vahur.nikopensius@sangar.ee</t>
  </si>
  <si>
    <t>5104525</t>
  </si>
  <si>
    <t>68201</t>
  </si>
  <si>
    <t>Kinnisvara rentimine</t>
  </si>
  <si>
    <t>EE102289813</t>
  </si>
  <si>
    <t>Vahur Nikopensius</t>
  </si>
  <si>
    <t>Problemaatiline</t>
  </si>
  <si>
    <t>MIVAR-VIVA AS</t>
  </si>
  <si>
    <t>Lossi tn 41, 71020, Viljandi linn, Viljandi maakond, Eesti Vabariik</t>
  </si>
  <si>
    <t>juta.grossthal@mivar-viva.ee, mivar-viva@mivar-viva.ee</t>
  </si>
  <si>
    <t>4333578, 4334296</t>
  </si>
  <si>
    <t>46411</t>
  </si>
  <si>
    <t>Õmblustarvete hulgimüük</t>
  </si>
  <si>
    <t>EE100210693</t>
  </si>
  <si>
    <t>Toomas Värva</t>
  </si>
  <si>
    <t>J</t>
  </si>
  <si>
    <t>62011</t>
  </si>
  <si>
    <t>Programmeerimine</t>
  </si>
  <si>
    <t>46901</t>
  </si>
  <si>
    <t>Mitmesuguste kaupade hulgikaubandus</t>
  </si>
  <si>
    <t>I</t>
  </si>
  <si>
    <t>ESKARO AS</t>
  </si>
  <si>
    <t>Fosforiidi tn 20, 74114, Maardu linn, Harju maakond, Eesti Vabariik</t>
  </si>
  <si>
    <t>eskaro@eskaro.com</t>
  </si>
  <si>
    <t>6217968, 5231622, 6217969</t>
  </si>
  <si>
    <t>4675</t>
  </si>
  <si>
    <t>Keemiatoodete hulgimüük</t>
  </si>
  <si>
    <t>EE100072255</t>
  </si>
  <si>
    <t>Olga Teor</t>
  </si>
  <si>
    <t>CHECKOUT TECHNOLOGY LTD EESTI FILIAAL FIL</t>
  </si>
  <si>
    <t>Jalgpalli tn 1, 11312, Tallinn linn, Harju maakond, Eesti Vabariik</t>
  </si>
  <si>
    <t>ott.kaukver@checkout.com</t>
  </si>
  <si>
    <t>5108629</t>
  </si>
  <si>
    <t>Jälgi ja/või  kasuta lisainfot</t>
  </si>
  <si>
    <t>OÜ Tartu Elamuhaldus</t>
  </si>
  <si>
    <t>Tartu linn, Tehase tn 19c, 50708, Tartu linn, Tartu maakond, Eesti Vabariik</t>
  </si>
  <si>
    <t>martin@elamuhaldus.ee, kaimo@eviko.ee, info@elamuhaldus.ee, teet@elamuhaldus.ee</t>
  </si>
  <si>
    <t>7307211, 7307210, 7307212</t>
  </si>
  <si>
    <t>81101</t>
  </si>
  <si>
    <t>Hoonehalduse abitegevused</t>
  </si>
  <si>
    <t>EE101271660</t>
  </si>
  <si>
    <t>Rivo Soo</t>
  </si>
  <si>
    <t>IRU HOOLDEKODU</t>
  </si>
  <si>
    <t>Hooldekodu tee 2/1, 13914, Tallinn linn, Harju maakond, Eesti Vabariik</t>
  </si>
  <si>
    <t>iru@iruhk.ee</t>
  </si>
  <si>
    <t>6062802</t>
  </si>
  <si>
    <t>Q</t>
  </si>
  <si>
    <t>87301</t>
  </si>
  <si>
    <t>Hoolekandeasutuste tegevused</t>
  </si>
  <si>
    <t>EE102401413</t>
  </si>
  <si>
    <t>Jaanika Luus</t>
  </si>
  <si>
    <t>86211</t>
  </si>
  <si>
    <t>Üldarstiabi osutamine</t>
  </si>
  <si>
    <t>Piiripealne</t>
  </si>
  <si>
    <t>LAPAVIRA OÜ</t>
  </si>
  <si>
    <t>Nelgi tee 12, 74001, Viimsi alevik, Viimsi vald, Harju maakond, Eesti Vabariik</t>
  </si>
  <si>
    <t>lapavira@lapavira.ee</t>
  </si>
  <si>
    <t>5077500</t>
  </si>
  <si>
    <t>A</t>
  </si>
  <si>
    <t>03221</t>
  </si>
  <si>
    <t>Magevee-vesiviljelus</t>
  </si>
  <si>
    <t>EE100881776</t>
  </si>
  <si>
    <t>Evelyn Saluste</t>
  </si>
  <si>
    <t>PROGATES OÜ</t>
  </si>
  <si>
    <t>Sõle tn 27, 10614, Tallinn linn, Harju maakond, Eesti Vabariik</t>
  </si>
  <si>
    <t>progates@hot.ee, vadim@a-tehnoulevaatus.ee</t>
  </si>
  <si>
    <t>6721888</t>
  </si>
  <si>
    <t>45321</t>
  </si>
  <si>
    <t>Mootorsõidukite lisaseadmete jaemüük</t>
  </si>
  <si>
    <t>EE100643794</t>
  </si>
  <si>
    <t>Vadim Strasch</t>
  </si>
  <si>
    <t>HORDEUM OÜ</t>
  </si>
  <si>
    <t>Tartu linn, Vallikraavi tn 4, 51003, Tartu linn, Tartu maakond, Eesti Vabariik</t>
  </si>
  <si>
    <t>kaspar.kokk@transcom.ee, info@hordeum.ee</t>
  </si>
  <si>
    <t>5034299, 5048632, 58836676, 5166317</t>
  </si>
  <si>
    <t>46211</t>
  </si>
  <si>
    <t>Teravilja ja loomasööda hulgimüük</t>
  </si>
  <si>
    <t>EE102168332</t>
  </si>
  <si>
    <t>Kaspar Kokk</t>
  </si>
  <si>
    <t>TMB ELEMENT OÜ</t>
  </si>
  <si>
    <t>Tartu linn, Betooni tn 7, Tartu linn, Tartu maakond, Eesti Vabariik</t>
  </si>
  <si>
    <t>info@tmbelement.ee</t>
  </si>
  <si>
    <t>7315400</t>
  </si>
  <si>
    <t>41201</t>
  </si>
  <si>
    <t>Hoonete ehitustööd</t>
  </si>
  <si>
    <t>EE101674801</t>
  </si>
  <si>
    <t>Viljar Männigo</t>
  </si>
  <si>
    <t>HILTI EESTI OÜ</t>
  </si>
  <si>
    <t>Mustamäe tee 46, 10621, Kristiine linnaosa, Tallinn, Harju maakond, Eesti Vabariik</t>
  </si>
  <si>
    <t>eesti@hilti.com</t>
  </si>
  <si>
    <t>8008798000, 6260080, 6550900</t>
  </si>
  <si>
    <t>46749</t>
  </si>
  <si>
    <t>Tööriistade ja rauakaupade hulgimüük</t>
  </si>
  <si>
    <t>EE100153750</t>
  </si>
  <si>
    <t>Herly Saar</t>
  </si>
  <si>
    <t>CISTA AS</t>
  </si>
  <si>
    <t>Karbi, 63503, Ihamaru küla, Kanepi vald, Põlva maakond, Eesti Vabariik</t>
  </si>
  <si>
    <t>cista@cista.ee</t>
  </si>
  <si>
    <t>7999289, 7999280</t>
  </si>
  <si>
    <t>C</t>
  </si>
  <si>
    <t>17211</t>
  </si>
  <si>
    <t>Papptaara tootmine</t>
  </si>
  <si>
    <t>EE100002995</t>
  </si>
  <si>
    <t>Vahur Käärik</t>
  </si>
  <si>
    <t>M</t>
  </si>
  <si>
    <t>71121</t>
  </si>
  <si>
    <t>Insener-tehniline projekteerimine</t>
  </si>
  <si>
    <t>SARLES OÜ</t>
  </si>
  <si>
    <t>Vabriku tn 10, 60534, Vahi alevik, Tartu vald, Tartu maakond, Eesti Vabariik</t>
  </si>
  <si>
    <t>info@sarles.ee, sven@sarles.ee, lesaar@live.com</t>
  </si>
  <si>
    <t>5088366</t>
  </si>
  <si>
    <t>01631</t>
  </si>
  <si>
    <t>Saagikoristusjärgsed tegevused</t>
  </si>
  <si>
    <t>EE101470788</t>
  </si>
  <si>
    <t>Anti Lehiste</t>
  </si>
  <si>
    <t>64201</t>
  </si>
  <si>
    <t>Valdusfirmade tegevus</t>
  </si>
  <si>
    <t>KEMMERLING OÜ</t>
  </si>
  <si>
    <t>Tartu linn, Turu põik 4/1, 50106, Tartu linn, Tartu maakond, Eesti Vabariik</t>
  </si>
  <si>
    <t>juhataja@kemmerling.ee, tallinn@kemmerling.ee, ida@kemmerling.ee, info@kemmerling.ee</t>
  </si>
  <si>
    <t>6002666, 5106660, 3320807, 7367444, 5131903, 1929</t>
  </si>
  <si>
    <t>E</t>
  </si>
  <si>
    <t>37001</t>
  </si>
  <si>
    <t>Kanalisatsioon</t>
  </si>
  <si>
    <t>EE100991925</t>
  </si>
  <si>
    <t>Külli Ilves</t>
  </si>
  <si>
    <t>S</t>
  </si>
  <si>
    <t>KADRIORU PARK</t>
  </si>
  <si>
    <t>A. Weizenbergi tn 26/2, 10127, Tallinn linn, Harju maakond, Eesti Vabariik</t>
  </si>
  <si>
    <t>info@kadriorupark.ee, kadriorupark@kadriorupark.ee</t>
  </si>
  <si>
    <t>55517582</t>
  </si>
  <si>
    <t>R</t>
  </si>
  <si>
    <t>93299</t>
  </si>
  <si>
    <t>Muud vaba aja tegevused</t>
  </si>
  <si>
    <t>EE100770117</t>
  </si>
  <si>
    <t>Ain Järve</t>
  </si>
  <si>
    <t>PERFORCE SOFTWARE AS</t>
  </si>
  <si>
    <t>Tartu linn, Ülikooli tn 2, 51003, Tartu linn, Tartu maakond, Eesti Vabariik</t>
  </si>
  <si>
    <t>toomas.romer@roguewave.com, hweber@perforce.com, skilian@perforce.com</t>
  </si>
  <si>
    <t>EE101321112</t>
  </si>
  <si>
    <t>Sara Marie Kilian</t>
  </si>
  <si>
    <t>GEO S.T. OÜ</t>
  </si>
  <si>
    <t>Meistri tn 10, 13517, Haabersti linnaosa, Tallinn, Harju maakond, Eesti Vabariik</t>
  </si>
  <si>
    <t>info@geo.ee</t>
  </si>
  <si>
    <t>5066853</t>
  </si>
  <si>
    <t>EE100330133</t>
  </si>
  <si>
    <t>Harald Lindeberg</t>
  </si>
  <si>
    <t>E-PIIM TOOTMINE AS</t>
  </si>
  <si>
    <t>Pikk tn 16, 73301, Järva-Jaani alev, Järva vald, Järva maakond, Eesti Vabariik</t>
  </si>
  <si>
    <t>epiim@epiim.ee</t>
  </si>
  <si>
    <t>3838301, 3838300</t>
  </si>
  <si>
    <t>10519</t>
  </si>
  <si>
    <t>Piimatoodete tootmine</t>
  </si>
  <si>
    <t>EE101498773</t>
  </si>
  <si>
    <t>Jaanus Murakas</t>
  </si>
  <si>
    <t>LEIBUR AS</t>
  </si>
  <si>
    <t>Leiva tn 1, 12618, Mustamäe linnaosa, Tallinn, Harju maakond, Eesti Vabariik</t>
  </si>
  <si>
    <t>leibur@leibur.ee</t>
  </si>
  <si>
    <t>6720293, 6504777</t>
  </si>
  <si>
    <t>47241</t>
  </si>
  <si>
    <t>Kondiitritoodete jaemüük</t>
  </si>
  <si>
    <t>EE100107609</t>
  </si>
  <si>
    <t>Asso Lankots</t>
  </si>
  <si>
    <t>PÄRNU AUTO ETM OÜ</t>
  </si>
  <si>
    <t>Tallinna mnt 93, 80041, Pärnu linn, Pärnu linn, Pärnu maakond, Eesti Vabariik</t>
  </si>
  <si>
    <t>parnuauto@parnuauto.ee</t>
  </si>
  <si>
    <t>4433601, 5069043, 4433600</t>
  </si>
  <si>
    <t>49411</t>
  </si>
  <si>
    <t>Kaubavedu maanteel</t>
  </si>
  <si>
    <t>EE100154500</t>
  </si>
  <si>
    <t>Karin Reidla</t>
  </si>
  <si>
    <t>BRENTEX OÜ</t>
  </si>
  <si>
    <t>Kasti, 78221, Kasti küla, Märjamaa vald, Rapla maakond, Eesti Vabariik</t>
  </si>
  <si>
    <t>info@brentex.ee, talis@brentex.ee, toomas@brentex.ee</t>
  </si>
  <si>
    <t>6704331, 53406178, 6704332</t>
  </si>
  <si>
    <t>EE100656891</t>
  </si>
  <si>
    <t>Talis Kink</t>
  </si>
  <si>
    <t>ESPAK AS</t>
  </si>
  <si>
    <t>Viadukti tn 42, 11313, Kesklinna linnaosa, Tallinn, Harju maakond, Eesti Vabariik</t>
  </si>
  <si>
    <t>arvi.liivik@espak.ee</t>
  </si>
  <si>
    <t>6512306, 6512303, 6512301, 6512302</t>
  </si>
  <si>
    <t>47529</t>
  </si>
  <si>
    <t>Muude ehitusmaterjalide jaemüük</t>
  </si>
  <si>
    <t>EE100298369</t>
  </si>
  <si>
    <t>Arvi Liivik</t>
  </si>
  <si>
    <t>Ehitajate tee 110, 13517, Tallinn linn, Harju maakond, Eesti Vabariik</t>
  </si>
  <si>
    <t>82991</t>
  </si>
  <si>
    <t>Muud äritegevuse abiteenused</t>
  </si>
  <si>
    <t>INEST MARKET AS</t>
  </si>
  <si>
    <t>Inesti, 30103, Saka küla, Toila vald, Ida-Viru maakond, Eesti Vabariik</t>
  </si>
  <si>
    <t>info@inestmarket.ee</t>
  </si>
  <si>
    <t>3370433, 3328211, 6990260</t>
  </si>
  <si>
    <t>4643</t>
  </si>
  <si>
    <t>Elektriliste kodumasinate hulgimüük</t>
  </si>
  <si>
    <t>EE100154319</t>
  </si>
  <si>
    <t>Valeri Šestilovski</t>
  </si>
  <si>
    <t>HIIELAID OÜ</t>
  </si>
  <si>
    <t>Tehvanijaani, 45315, Pehka küla, Haljala vald, Lääne-Viru maakond, Eesti Vabariik</t>
  </si>
  <si>
    <t>hiielaid@hot.ee, katelapuit@gmail.com</t>
  </si>
  <si>
    <t>5048960, 59821004</t>
  </si>
  <si>
    <t>16101</t>
  </si>
  <si>
    <t>Saematerjali tootmine</t>
  </si>
  <si>
    <t>EE100462810</t>
  </si>
  <si>
    <t>Toomas Hiielaid</t>
  </si>
  <si>
    <t>REFLEKT GROUP OÜ</t>
  </si>
  <si>
    <t>Rotermanni tn 2, 10111, Tallinn linn, Harju maakond, Eesti Vabariik</t>
  </si>
  <si>
    <t>ristomagi@gmail.com, connect@reflekt.ee</t>
  </si>
  <si>
    <t>56641399, 5114144, 5185948</t>
  </si>
  <si>
    <t>18131</t>
  </si>
  <si>
    <t>Trükieelne tegevus</t>
  </si>
  <si>
    <t>EE102096585</t>
  </si>
  <si>
    <t>Risto Mägi</t>
  </si>
  <si>
    <t>QVALITAS ARSTIKESKUS AS</t>
  </si>
  <si>
    <t>estonia@qvalitas.ee</t>
  </si>
  <si>
    <t>6051515, 6051500, 6051550</t>
  </si>
  <si>
    <t>86221</t>
  </si>
  <si>
    <t>Eriarstiabi osutamine</t>
  </si>
  <si>
    <t>EE100213315</t>
  </si>
  <si>
    <t>Kadri Kapp</t>
  </si>
  <si>
    <t>WIRU AUTO OÜ</t>
  </si>
  <si>
    <t>F. R. Kreutzwaldi tn 7, 44314, Rakvere linn, Lääne-Viru maakond, Eesti Vabariik</t>
  </si>
  <si>
    <t>info@wiruauto.ee, sekretar@wiruauto.ee</t>
  </si>
  <si>
    <t>3295560</t>
  </si>
  <si>
    <t>4520</t>
  </si>
  <si>
    <t>Mootorsõidukite remont</t>
  </si>
  <si>
    <t>EE100697371</t>
  </si>
  <si>
    <t>Terje Saksen</t>
  </si>
  <si>
    <t>WHIRLPOOL EESTI OÜ</t>
  </si>
  <si>
    <t>Türi tn 10c, 11313, Tallinn linn, Harju maakond, Eesti Vabariik</t>
  </si>
  <si>
    <t>info_estonia@whirlpool.com</t>
  </si>
  <si>
    <t>6501670</t>
  </si>
  <si>
    <t>46431</t>
  </si>
  <si>
    <t>EE100325193</t>
  </si>
  <si>
    <t>Denys Barilovskyi</t>
  </si>
  <si>
    <t>ALISTRON AS</t>
  </si>
  <si>
    <t>Mäealuse tn 10b, 12618, Mustamäe linnaosa, Tallinn, Harju maakond, Eesti Vabariik</t>
  </si>
  <si>
    <t>alistron@alistron.ee, alistron@hot.ee</t>
  </si>
  <si>
    <t>5014184, 6720425, 6720145, 6720428</t>
  </si>
  <si>
    <t>43331</t>
  </si>
  <si>
    <t>Põranda- ja seinakatete paigaldus</t>
  </si>
  <si>
    <t>EE100217191</t>
  </si>
  <si>
    <t>Aleksandr Pevzner</t>
  </si>
  <si>
    <t>INSLY OÜ</t>
  </si>
  <si>
    <t>Lõõtsa tn 8, 11415, Lasnamäe linnaosa, Tallinn, Harju maakond, Eesti Vabariik</t>
  </si>
  <si>
    <t>info@insly.com</t>
  </si>
  <si>
    <t>6660305</t>
  </si>
  <si>
    <t>62091</t>
  </si>
  <si>
    <t>Infotehnoloogia- ja arvutialased tegevused</t>
  </si>
  <si>
    <t>EE101663809</t>
  </si>
  <si>
    <t>Risto Rossar</t>
  </si>
  <si>
    <t>TREF NORD AS</t>
  </si>
  <si>
    <t>Lagedi tee 30, 75325, Veneküla, Rae vald, Harju maakond, Eesti Vabariik</t>
  </si>
  <si>
    <t>trefnord@trefnord.ee</t>
  </si>
  <si>
    <t>6349411, 6349400</t>
  </si>
  <si>
    <t>B</t>
  </si>
  <si>
    <t>08121</t>
  </si>
  <si>
    <t>Kruusa- ja liivakarjäär</t>
  </si>
  <si>
    <t>EE100447770</t>
  </si>
  <si>
    <t>Jaanus Taro</t>
  </si>
  <si>
    <t>TÕNISMÄE HAMBARAVI OÜ</t>
  </si>
  <si>
    <t>Tõnismägi 11a, 10119, Tallinn linn, Harju maakond, Eesti Vabariik</t>
  </si>
  <si>
    <t>piret.uudekull@gmail.com, info@tmhambaravi.ee, piret.uudekull@tmhambaravi.ee</t>
  </si>
  <si>
    <t>5140802, 6005323</t>
  </si>
  <si>
    <t>86231</t>
  </si>
  <si>
    <t>Hambaravi osutamine</t>
  </si>
  <si>
    <t>Epp Pohlak</t>
  </si>
  <si>
    <t>YUD HEALTH DISTRIBUTION OÜ</t>
  </si>
  <si>
    <t>info@yudhd.eu</t>
  </si>
  <si>
    <t>58372666, 56292050</t>
  </si>
  <si>
    <t>EE101979865</t>
  </si>
  <si>
    <t>Vladimir Ivanov</t>
  </si>
  <si>
    <t>NET SYSTEMS GROUP OÜ</t>
  </si>
  <si>
    <t>Vana-Narva mnt 18/2, 74604, Kiiu alevik, Kuusalu vald, Harju maakond, Eesti Vabariik</t>
  </si>
  <si>
    <t>tonis@ecometal.ee</t>
  </si>
  <si>
    <t>6461525, 5108097</t>
  </si>
  <si>
    <t>70221</t>
  </si>
  <si>
    <t>Ärinõustamine</t>
  </si>
  <si>
    <t>EE100563942</t>
  </si>
  <si>
    <t>Maidu Kaasik</t>
  </si>
  <si>
    <t>TRAFFIC CONTROL OÜ</t>
  </si>
  <si>
    <t>Ahtri tn 6a, 10151, Tallinn linn, Harju maakond, Eesti Vabariik</t>
  </si>
  <si>
    <t>info@credy.com</t>
  </si>
  <si>
    <t>73121</t>
  </si>
  <si>
    <t>Reklaami vahendamine meedias</t>
  </si>
  <si>
    <t>EE101776220</t>
  </si>
  <si>
    <t>Sten Kaasik</t>
  </si>
  <si>
    <t>REVALA OÜ</t>
  </si>
  <si>
    <t>Vae tn 2, 76401, Laagri alevik, Saue vald, Harju maakond, Eesti Vabariik</t>
  </si>
  <si>
    <t>rein@revala.ee, revala@revala.ee</t>
  </si>
  <si>
    <t>6541770, 5048202, 6541777</t>
  </si>
  <si>
    <t>EE100562765</t>
  </si>
  <si>
    <t>Rein Viilu</t>
  </si>
  <si>
    <t>VALEV UDRAS OÜ</t>
  </si>
  <si>
    <t>Killustiku, 85004, Nurme küla, Tori vald, Pärnu maakond, Eesti Vabariik</t>
  </si>
  <si>
    <t>valevudras@hot.ee</t>
  </si>
  <si>
    <t>4427943, 4475731, 4475732, 4427942</t>
  </si>
  <si>
    <t>4312</t>
  </si>
  <si>
    <t>Ehitusplatside ettevalmistus</t>
  </si>
  <si>
    <t>EE100079601</t>
  </si>
  <si>
    <t>Valev Udras</t>
  </si>
  <si>
    <t>MASKU BALTIC OÜ</t>
  </si>
  <si>
    <t>J. Smuuli tee 43, 11415, Tallinn linn, Harju maakond, Eesti Vabariik</t>
  </si>
  <si>
    <t>tellimus@masku.com, heini.kurikka@masku.com, info@masku.com, jarkko.niskala@masku.com, info@masku.ee</t>
  </si>
  <si>
    <t>6480888, 7763067, 6338929</t>
  </si>
  <si>
    <t>47591</t>
  </si>
  <si>
    <t>Mööbli jaemüük</t>
  </si>
  <si>
    <t>EE101008105</t>
  </si>
  <si>
    <t>Kaisa Eeva Helena Sukari</t>
  </si>
  <si>
    <t>SMARTCAP AS</t>
  </si>
  <si>
    <t>Hobujaama tn 4, 10151, Kesklinna linnaosa, Tallinn, Harju maakond, Eesti Vabariik</t>
  </si>
  <si>
    <t>info@smartcap.ee</t>
  </si>
  <si>
    <t>6161100</t>
  </si>
  <si>
    <t>66301</t>
  </si>
  <si>
    <t>Fondide valitsemine</t>
  </si>
  <si>
    <t>EE101581062</t>
  </si>
  <si>
    <t>Sille Pettai</t>
  </si>
  <si>
    <t>LIGNAMETS OÜ</t>
  </si>
  <si>
    <t>Teguri tn 37b, 50107, Tartu linn, Tartu maakond, Eesti Vabariik</t>
  </si>
  <si>
    <t>lignator.mets@lignator.ee, toomas@mets.ee</t>
  </si>
  <si>
    <t>7668055, 5084371, 7668056, 5089402</t>
  </si>
  <si>
    <t>01199</t>
  </si>
  <si>
    <t>Põllukultuuride kasvatus</t>
  </si>
  <si>
    <t>EE100366877</t>
  </si>
  <si>
    <t>Toomas Kont</t>
  </si>
  <si>
    <t>EST-POS OÜ</t>
  </si>
  <si>
    <t>Tartu linn, Turu tn 2, 51004, Tartu linn, Tartu maakond, Eesti Vabariik</t>
  </si>
  <si>
    <t>info@estpos.ee</t>
  </si>
  <si>
    <t>58812399, 7400666</t>
  </si>
  <si>
    <t>EE101652234</t>
  </si>
  <si>
    <t>Indrek Linnas</t>
  </si>
  <si>
    <t>GREEN IT OÜ</t>
  </si>
  <si>
    <t>Mustamäe tee 3, 15033, Kristiine linnaosa, Tallinn, Harju maakond, Eesti Vabariik</t>
  </si>
  <si>
    <t>info@greenit.ee</t>
  </si>
  <si>
    <t>6181695, 6181690</t>
  </si>
  <si>
    <t>4651</t>
  </si>
  <si>
    <t>Arvutite hulgimüük</t>
  </si>
  <si>
    <t>EE101092519</t>
  </si>
  <si>
    <t>Erik Ellam</t>
  </si>
  <si>
    <t>PEAS LOGISTIKA OÜ</t>
  </si>
  <si>
    <t>Linnamäe tee 42a-46, 13911, Tallinn linn, Harju maakond, Eesti Vabariik</t>
  </si>
  <si>
    <t>peaslogistika@gmail.com, info@peaslogistika.ee</t>
  </si>
  <si>
    <t>55637968, 5284745</t>
  </si>
  <si>
    <t>52293</t>
  </si>
  <si>
    <t>Tolliagentide tegevus</t>
  </si>
  <si>
    <t>EE101708667</t>
  </si>
  <si>
    <t>Pavel Gorohhov</t>
  </si>
  <si>
    <t>85312</t>
  </si>
  <si>
    <t>Põhikoolide tegevus</t>
  </si>
  <si>
    <t>BALTI PLAADIKAUBANDUSE AKTSIASELTS</t>
  </si>
  <si>
    <t>Pärnu mnt 107, 11312, Kesklinna linnaosa, Tallinn, Harju maakond, Eesti Vabariik</t>
  </si>
  <si>
    <t>bpk@bpk.ee</t>
  </si>
  <si>
    <t>6558024, 6556226, 6558026</t>
  </si>
  <si>
    <t>EE100148668</t>
  </si>
  <si>
    <t>Guido Park</t>
  </si>
  <si>
    <t>COOLPAR OÜ</t>
  </si>
  <si>
    <t>Heki tee 6-24, 74001, Haabneeme alevik, Viimsi vald, Harju maakond, Eesti Vabariik</t>
  </si>
  <si>
    <t>info@coolpar.ee</t>
  </si>
  <si>
    <t>53413605</t>
  </si>
  <si>
    <t>28251</t>
  </si>
  <si>
    <t>Tööstuslike külmutusseadmete tootmine</t>
  </si>
  <si>
    <t>EE102136623</t>
  </si>
  <si>
    <t>Kristjan Liivrand</t>
  </si>
  <si>
    <t>LOTUS TIMBER OÜ</t>
  </si>
  <si>
    <t>Vana-Narva mnt 31, 74114, Maardu linn, Harju maakond, Eesti Vabariik</t>
  </si>
  <si>
    <t>aare@lotustimber.ee, info@lotustimber.ee</t>
  </si>
  <si>
    <t>6362500, 6363165</t>
  </si>
  <si>
    <t>EE101435448</t>
  </si>
  <si>
    <t>Andres Sonn</t>
  </si>
  <si>
    <t>TÄHE RAAMATUPIDAMISBÜROO OÜ</t>
  </si>
  <si>
    <t>Tähe tn 127a, 50113, Tartu linn, Tartu maakond, Eesti Vabariik</t>
  </si>
  <si>
    <t>signe@raamatupidamisbyroo.ee</t>
  </si>
  <si>
    <t>7351090, 5215182</t>
  </si>
  <si>
    <t>69202</t>
  </si>
  <si>
    <t>Raamatupidamine</t>
  </si>
  <si>
    <t>EE101128344</t>
  </si>
  <si>
    <t>Signe Sildaru</t>
  </si>
  <si>
    <t>KAHU &amp; KAHU EHITUS OÜ</t>
  </si>
  <si>
    <t>Liiva tn 21-5, 80019, Pärnu linn, Pärnu linn, Pärnu maakond, Eesti Vabariik</t>
  </si>
  <si>
    <t>johannes.kahu@kahuehitus.ee, info@kahuehitus.ee, juhan.kahu@kahuehitus.ee</t>
  </si>
  <si>
    <t>58866964, 55558806</t>
  </si>
  <si>
    <t>EE101679903</t>
  </si>
  <si>
    <t>Johannes Kahu</t>
  </si>
  <si>
    <t>RENEKO OÜ</t>
  </si>
  <si>
    <t>Nõlva tn 11a, 10416, Põhja-Tallinna linnaosa, Tallinn, Harju maakond, Eesti Vabariik</t>
  </si>
  <si>
    <t>reneko@reneko.ee</t>
  </si>
  <si>
    <t>6395280, 6603486, 56608572, 6603479, 55545119</t>
  </si>
  <si>
    <t>EE100157468</t>
  </si>
  <si>
    <t>Lilia Abdullajeva</t>
  </si>
  <si>
    <t>FINESTMEDIA AS</t>
  </si>
  <si>
    <t>Tartu mnt 80d, 10112, Kesklinna linnaosa, Tallinn, Harju maakond, Eesti Vabariik</t>
  </si>
  <si>
    <t>fm@finestmedia.ee, priit.penjam@finestmedia.ee</t>
  </si>
  <si>
    <t>6558044, 6558043</t>
  </si>
  <si>
    <t>EE100661873</t>
  </si>
  <si>
    <t>Søren Hejnfelt</t>
  </si>
  <si>
    <t>ACRÜLAM OÜ</t>
  </si>
  <si>
    <t>Sirmiku tee 1, 75316, Patika küla, Rae vald, Harju maakond, Eesti Vabariik</t>
  </si>
  <si>
    <t>info@acrulam.ee</t>
  </si>
  <si>
    <t>56485756</t>
  </si>
  <si>
    <t>46732</t>
  </si>
  <si>
    <t>Sanitaarseadmete hulgimüük</t>
  </si>
  <si>
    <t>EE101143426</t>
  </si>
  <si>
    <t>Andrus Tomp</t>
  </si>
  <si>
    <t>COMPACT HOME OÜ</t>
  </si>
  <si>
    <t>Karja tee 16, 62401, Võnnu alevik, Kastre vald, Tartu maakond, Eesti Vabariik</t>
  </si>
  <si>
    <t>compacthomeoy@gmail.com, info@compacthome.ee</t>
  </si>
  <si>
    <t>5027766</t>
  </si>
  <si>
    <t>EE101847489</t>
  </si>
  <si>
    <t>Romet Tsirna</t>
  </si>
  <si>
    <t>ASCAR TARTU OÜ</t>
  </si>
  <si>
    <t>Tartu linn, Turu tn 69, 50105, Tartu linn, Tartu maakond, Eesti Vabariik</t>
  </si>
  <si>
    <t>marko.viirand@autospirit.ee, andres@mpvara.ee</t>
  </si>
  <si>
    <t>45201</t>
  </si>
  <si>
    <t>EE102137392</t>
  </si>
  <si>
    <t>Andres Pettai</t>
  </si>
  <si>
    <t>A.KARUSE AS</t>
  </si>
  <si>
    <t>Rükkeli tn 4, 68205, Valga linn, Valga vald, Valga maakond, Eesti Vabariik</t>
  </si>
  <si>
    <t>akaruse@akaruse.ee</t>
  </si>
  <si>
    <t>7661844, 5073000, 7661020</t>
  </si>
  <si>
    <t>EE100491551</t>
  </si>
  <si>
    <t>Allain Karuse</t>
  </si>
  <si>
    <t>TEHNOPLAST AS</t>
  </si>
  <si>
    <t>Laki tn 5a, 10621, Kristiine linnaosa, Tallinn, Harju maakond, Eesti Vabariik</t>
  </si>
  <si>
    <t>info@tehnoplast.ee</t>
  </si>
  <si>
    <t>6563353, 6563476</t>
  </si>
  <si>
    <t>4676</t>
  </si>
  <si>
    <t>Muude vahetoodete hulgimüük</t>
  </si>
  <si>
    <t>EE100112539</t>
  </si>
  <si>
    <t>Peeter Remmel</t>
  </si>
  <si>
    <t>METAPRINT AS</t>
  </si>
  <si>
    <t>Suur-Sõjamäe tn 30, 11415, Lasnamäe linnaosa, Tallinn, Harju maakond, Eesti Vabariik</t>
  </si>
  <si>
    <t>info@metaprint.com</t>
  </si>
  <si>
    <t>5098835, 6177850</t>
  </si>
  <si>
    <t>25921</t>
  </si>
  <si>
    <t>Kergmetalltaara tootmine</t>
  </si>
  <si>
    <t>EE100247255</t>
  </si>
  <si>
    <t>Martti Lemendik</t>
  </si>
  <si>
    <t>LASNAMÄE SOTSIAALKESKUS</t>
  </si>
  <si>
    <t>Killustiku tn 16, 11414, Lasnamäe linnaosa, Tallinn, Harju maakond, Eesti Vabariik</t>
  </si>
  <si>
    <t>ivika.karner@lsk.ee</t>
  </si>
  <si>
    <t>6011201</t>
  </si>
  <si>
    <t>88991</t>
  </si>
  <si>
    <t>Sotsiaalhoolekanne majutuseta</t>
  </si>
  <si>
    <t>Ivika Kärner</t>
  </si>
  <si>
    <t>RAKVERE ÄRIKESKUS OÜ</t>
  </si>
  <si>
    <t>Lõõtspilli tn 2, 44313, Rakvere linn, Lääne-Viru maakond, Eesti Vabariik</t>
  </si>
  <si>
    <t>bvl@bvl.ee, margus@tiigikeskus.ee</t>
  </si>
  <si>
    <t>5136443</t>
  </si>
  <si>
    <t>68101</t>
  </si>
  <si>
    <t>Enda kinnisvara ost ja müük</t>
  </si>
  <si>
    <t>EE101099240</t>
  </si>
  <si>
    <t>Margus Kalev</t>
  </si>
  <si>
    <t>TK-FASHION OÜ</t>
  </si>
  <si>
    <t>Tartu mnt 83, 10115, Tallinn linn, Harju maakond, Eesti Vabariik</t>
  </si>
  <si>
    <t>estonia@takko-fashion.ee</t>
  </si>
  <si>
    <t>6604541, 6828393, 6828399</t>
  </si>
  <si>
    <t>47711</t>
  </si>
  <si>
    <t>Rõivaste jaemüük</t>
  </si>
  <si>
    <t>EE101273707</t>
  </si>
  <si>
    <t>Sebastian Worożański</t>
  </si>
  <si>
    <t>KUREMAA ENVEKO OÜ</t>
  </si>
  <si>
    <t>Kuremaa tee 32, 48443, Laiuse alevik, Jõgeva vald, Jõgeva maakond, Eesti Vabariik</t>
  </si>
  <si>
    <t>enveko@enveko.ee</t>
  </si>
  <si>
    <t>57502323, 7762594</t>
  </si>
  <si>
    <t>EE100389333</t>
  </si>
  <si>
    <t>Andrei Vandler</t>
  </si>
  <si>
    <t>CHUBARAS ENTERPRISES OÜ</t>
  </si>
  <si>
    <t>Pae tn 25-47, 11414, Tallinn linn, Harju maakond, Eesti Vabariik</t>
  </si>
  <si>
    <t>zagorsky-yar@yandex.ru, info@ari.ee</t>
  </si>
  <si>
    <t>56347878, 9056347878</t>
  </si>
  <si>
    <t>Evgeni Zagorski</t>
  </si>
  <si>
    <t>ROADWEST OÜ</t>
  </si>
  <si>
    <t>Valga mnt 7, 61504, Elva linn, Elva vald, Tartu maakond, Eesti Vabariik</t>
  </si>
  <si>
    <t>info@roadwest.ee</t>
  </si>
  <si>
    <t>7456858, 7456449, 5039061, 53454068</t>
  </si>
  <si>
    <t>38111</t>
  </si>
  <si>
    <t>Tavajäätmete kogumine</t>
  </si>
  <si>
    <t>EE100981391</t>
  </si>
  <si>
    <t>13311</t>
  </si>
  <si>
    <t>Riskantne</t>
  </si>
  <si>
    <t>Ainult ettemaks</t>
  </si>
  <si>
    <t>Asko Vester</t>
  </si>
  <si>
    <t>KIVIÕLI I KESKKOOL</t>
  </si>
  <si>
    <t>Viru tn 14, 43125, Kiviõli linn, Lüganuse vald, Ida-Viru maakond, Eesti Vabariik</t>
  </si>
  <si>
    <t>kantselei@k1k.ee</t>
  </si>
  <si>
    <t>3358540</t>
  </si>
  <si>
    <t>85313</t>
  </si>
  <si>
    <t>Gümnaasiumide tegevus</t>
  </si>
  <si>
    <t>Tiit Salvan</t>
  </si>
  <si>
    <t>DUGLAS&amp;DUGLAS OÜ</t>
  </si>
  <si>
    <t>Toom-Kuninga tn 15-110, 10122, Tallinn linn, Harju maakond, Eesti Vabariik</t>
  </si>
  <si>
    <t>ly@duglas.ee, info@duglas.ee</t>
  </si>
  <si>
    <t>5242608</t>
  </si>
  <si>
    <t>96021</t>
  </si>
  <si>
    <t>Iluteenindus (juuksur jm)</t>
  </si>
  <si>
    <t>EE101399788</t>
  </si>
  <si>
    <t>Ettemaks või lisagarantii</t>
  </si>
  <si>
    <t>Ly Carter</t>
  </si>
  <si>
    <t>ÜHISTEENUSED AS</t>
  </si>
  <si>
    <t>Endla tn 15, 10122, Tallinn linn, Harju maakond, Eesti Vabariik</t>
  </si>
  <si>
    <t>parkimine@yhisteenused.ee</t>
  </si>
  <si>
    <t>6511531, 6511530, 6511515</t>
  </si>
  <si>
    <t>52211</t>
  </si>
  <si>
    <t>Parklate tegevus</t>
  </si>
  <si>
    <t>EE101101374</t>
  </si>
  <si>
    <t>Hendo Priimägi</t>
  </si>
  <si>
    <t>ESTONIAN JAPAN TRADING COMPANY AS</t>
  </si>
  <si>
    <t>Maakri tn 19/2, 10145, Tallinn linn, Harju maakond, Eesti Vabariik</t>
  </si>
  <si>
    <t>catlyn.toomere@gmail.com</t>
  </si>
  <si>
    <t>53025710</t>
  </si>
  <si>
    <t>EE102311105</t>
  </si>
  <si>
    <t>Cätlyn Toomere</t>
  </si>
  <si>
    <t>KAMMERI KOOL</t>
  </si>
  <si>
    <t>Kooli, 62007, Kammeri küla, Kambja vald, Tartu maakond, Eesti Vabariik</t>
  </si>
  <si>
    <t>info@kammerikool.ee</t>
  </si>
  <si>
    <t>7460549</t>
  </si>
  <si>
    <t>Kairi Kolk</t>
  </si>
  <si>
    <t>VENE TEATER SA</t>
  </si>
  <si>
    <t>Vabaduse väljak 5, 10141, Tallinn linn, Harju maakond, Eesti Vabariik</t>
  </si>
  <si>
    <t>info@veneteater.ee, zanna@veneteater.ee, kissin.andrei@gmail.com</t>
  </si>
  <si>
    <t>5119950, 6114908, 6114900</t>
  </si>
  <si>
    <t>9001</t>
  </si>
  <si>
    <t>Lavakunst</t>
  </si>
  <si>
    <t>EE100943041</t>
  </si>
  <si>
    <t>Margus Allikmaa</t>
  </si>
  <si>
    <t>BALSNACK INTERNATIONAL HOLDING AS</t>
  </si>
  <si>
    <t>Mõisa tee 11, 76402, Ääsmäe küla, Saue vald, Harju maakond, Eesti Vabariik</t>
  </si>
  <si>
    <t>balsnack@balsnack.ee, raamatupidamine@balsnack.ee, post@balsnack.ee</t>
  </si>
  <si>
    <t>6728981, 5544088, 5051050, 6728980</t>
  </si>
  <si>
    <t>10131</t>
  </si>
  <si>
    <t>Linnuliha tootmine</t>
  </si>
  <si>
    <t>EE100446470</t>
  </si>
  <si>
    <t>Reigo Rusing</t>
  </si>
  <si>
    <t>BESTWAY GRUPP OÜ</t>
  </si>
  <si>
    <t>Punane tn 42, 13619, Lasnamäe linnaosa, Tallinn, Harju maakond, Eesti Vabariik</t>
  </si>
  <si>
    <t>bwg@bwg.ee</t>
  </si>
  <si>
    <t>58370967, 6999526, 6999525</t>
  </si>
  <si>
    <t>52291</t>
  </si>
  <si>
    <t>Veoste ekspedeerimine</t>
  </si>
  <si>
    <t>EE101186373</t>
  </si>
  <si>
    <t>Raido Nikonorov</t>
  </si>
  <si>
    <t>SILWI AUTOEHITUSE AS</t>
  </si>
  <si>
    <t>Vana-Narva mnt 8, 74114, Maardu linn, Harju maakond, Eesti Vabariik</t>
  </si>
  <si>
    <t>silwi@silwi.ee</t>
  </si>
  <si>
    <t>6379491, 6266009, 6360610</t>
  </si>
  <si>
    <t>45191</t>
  </si>
  <si>
    <t>Muude mootorsõidukite müük</t>
  </si>
  <si>
    <t>EE100450615</t>
  </si>
  <si>
    <t>Märt Tõnumaa</t>
  </si>
  <si>
    <t>LOODUSTOODE OÜ</t>
  </si>
  <si>
    <t>Rabaküla tn 4/2, 12916, Mustamäe linnaosa, Tallinn, Harju maakond, Eesti Vabariik</t>
  </si>
  <si>
    <t>info@loodustoode.ee</t>
  </si>
  <si>
    <t>6660093, 6660091</t>
  </si>
  <si>
    <t>46461</t>
  </si>
  <si>
    <t>Ravimite hulgimüük</t>
  </si>
  <si>
    <t>EE100094958</t>
  </si>
  <si>
    <t>Arno Achates Latvus</t>
  </si>
  <si>
    <t>JÕHVI HOOLDEKESKUS SA</t>
  </si>
  <si>
    <t>Kaare tn 3, 41531, Jõhvi linn, Jõhvi vald, Ida-Viru maakond, Eesti Vabariik</t>
  </si>
  <si>
    <t>hooldekeskus@hot.ee</t>
  </si>
  <si>
    <t>5282085, 3361628</t>
  </si>
  <si>
    <t>EE102270602</t>
  </si>
  <si>
    <t>2022.05.01</t>
  </si>
  <si>
    <t>Rita Leemet</t>
  </si>
  <si>
    <t>TAUF-AUTO AS</t>
  </si>
  <si>
    <t>Tartu linn, Sepa tn 24b, 50113, Tartu linn, Tartu maakond, Eesti Vabariik</t>
  </si>
  <si>
    <t>info@taufauto.ee</t>
  </si>
  <si>
    <t>7300864, 7300868</t>
  </si>
  <si>
    <t>EE100031526</t>
  </si>
  <si>
    <t>Karel Uffert</t>
  </si>
  <si>
    <t>KOLMEKS AS</t>
  </si>
  <si>
    <t>Planeedi tn 4, 71020, Viljandi linn, Viljandi maakond, Eesti Vabariik</t>
  </si>
  <si>
    <t>kolmeks@kolmeks.com, kolmeks.estonia@kolmeks.com</t>
  </si>
  <si>
    <t>4349770</t>
  </si>
  <si>
    <t>27111</t>
  </si>
  <si>
    <t>Elektrimootorite tootmine</t>
  </si>
  <si>
    <t>EE100223761</t>
  </si>
  <si>
    <t>Leho Haldna</t>
  </si>
  <si>
    <t>KLAASPLAST OÜ</t>
  </si>
  <si>
    <t>Kuke, 75121, Kolu küla, Kose vald, Harju maakond, Eesti Vabariik</t>
  </si>
  <si>
    <t>andres.arnover@gmail.com, info@mahuti.ee</t>
  </si>
  <si>
    <t>53737616</t>
  </si>
  <si>
    <t>22291</t>
  </si>
  <si>
    <t>Muude plasttoodete tootmine</t>
  </si>
  <si>
    <t>EE101399597</t>
  </si>
  <si>
    <t>Andres Arnover</t>
  </si>
  <si>
    <t>CAORI EF OÜ</t>
  </si>
  <si>
    <t>Madara tn 33/1-427, 10613, Kristiine linnaosa, Tallinn, Harju maakond, Eesti Vabariik</t>
  </si>
  <si>
    <t>benenson@hot.ee, info@pm24.ee</t>
  </si>
  <si>
    <t>5016700, 5108400, 6461466</t>
  </si>
  <si>
    <t>EE100316720</t>
  </si>
  <si>
    <t>Viktor Benenson</t>
  </si>
  <si>
    <t>TALLINNA MUSTAMÄE GÜMNAASIUM</t>
  </si>
  <si>
    <t>Keskuse tn 18, 12911, Mustamäe linnaosa, Tallinn, Harju maakond, Eesti Vabariik</t>
  </si>
  <si>
    <t>kool@mg.edu.ee</t>
  </si>
  <si>
    <t>6547292</t>
  </si>
  <si>
    <t>Kaidor Damberg</t>
  </si>
  <si>
    <t>TOOLMARKETING OÜ</t>
  </si>
  <si>
    <t>Kassi tn 1, 12618, Tallinn linn, Harju maakond, Eesti Vabariik</t>
  </si>
  <si>
    <t>martin@toolmarketing.ee, info@toolmarketing.ee</t>
  </si>
  <si>
    <t>6096438, 6096436</t>
  </si>
  <si>
    <t>EE101218102</t>
  </si>
  <si>
    <t>Martin Koort</t>
  </si>
  <si>
    <t>ON24 AS</t>
  </si>
  <si>
    <t>Tallinna tn 86, 71073, Peetrimõisa küla, Viljandi vald, Viljandi maakond, Eesti Vabariik</t>
  </si>
  <si>
    <t>info@on24.ee</t>
  </si>
  <si>
    <t>4354370</t>
  </si>
  <si>
    <t>46471</t>
  </si>
  <si>
    <t>Mööblikaupade hulgimüük</t>
  </si>
  <si>
    <t>EE100883460</t>
  </si>
  <si>
    <t>Astrid Bachmann</t>
  </si>
  <si>
    <t>MOVEO OÜ</t>
  </si>
  <si>
    <t>Raua tn 31-7, 10124, Tallinn linn, Harju maakond, Eesti Vabariik</t>
  </si>
  <si>
    <t>kaili@moveo.ee, info@moveo.ee</t>
  </si>
  <si>
    <t>5125551, 6419520</t>
  </si>
  <si>
    <t>EE100725081</t>
  </si>
  <si>
    <t>Kaili Pohla</t>
  </si>
  <si>
    <t>VENIPAK EESTI OÜ</t>
  </si>
  <si>
    <t>Osmussaare tn 8, 13811, Lasnamäe linnaosa, Tallinn, Harju maakond, Eesti Vabariik</t>
  </si>
  <si>
    <t>info@venipak.ee, Info@venipak.com, helpdesk.ee@venipak.com</t>
  </si>
  <si>
    <t>55547449, 6414481</t>
  </si>
  <si>
    <t>EE101515083</t>
  </si>
  <si>
    <t>RAADIMÕISA GAAS OÜ</t>
  </si>
  <si>
    <t>Tartu linn, Tähe tn 129b, 50113, Tartu linn, Tartu maakond, Eesti Vabariik</t>
  </si>
  <si>
    <t>raadigaas@raadigaas.ee</t>
  </si>
  <si>
    <t>7470223, 5217197</t>
  </si>
  <si>
    <t>42211</t>
  </si>
  <si>
    <t>Kanalisatsioonitrasside ehitus</t>
  </si>
  <si>
    <t>EE100946035</t>
  </si>
  <si>
    <t>Priit Sonn</t>
  </si>
  <si>
    <t>PAE LOOMAKLIINIK OÜ</t>
  </si>
  <si>
    <t>Pae tn 70, 13620, Lasnamäe linnaosa, Tallinn, Harju maakond, Eesti Vabariik</t>
  </si>
  <si>
    <t>jahisalga@gmail.com</t>
  </si>
  <si>
    <t>56629100</t>
  </si>
  <si>
    <t>4776</t>
  </si>
  <si>
    <t>Muude kaupade jaemüük kauplustes</t>
  </si>
  <si>
    <t>EE101346375</t>
  </si>
  <si>
    <t>Veiko Meus-Salk</t>
  </si>
  <si>
    <t>AB MEDICAL TEENINDUSE OÜ</t>
  </si>
  <si>
    <t>Reti tee 12-11, 75312, Peetri alevik, Rae vald, Harju maakond, Eesti Vabariik</t>
  </si>
  <si>
    <t>service@abmedical.ee, info@abmedical.ee</t>
  </si>
  <si>
    <t>6593250, 6552310</t>
  </si>
  <si>
    <t>33201</t>
  </si>
  <si>
    <t>Tööstuslike masinate paigaldus</t>
  </si>
  <si>
    <t>EE100360404</t>
  </si>
  <si>
    <t>Ivar Lindla</t>
  </si>
  <si>
    <t>WISERCAT ESTONIA OÜ</t>
  </si>
  <si>
    <t>Lelle tn 24, 11318, Tallinn linn, Harju maakond, Eesti Vabariik</t>
  </si>
  <si>
    <t>info@wisercat.eu</t>
  </si>
  <si>
    <t>6139853</t>
  </si>
  <si>
    <t>77399</t>
  </si>
  <si>
    <t>Muude materiaalsete varade rentimine</t>
  </si>
  <si>
    <t>EE101937483</t>
  </si>
  <si>
    <t>Anton Anikin</t>
  </si>
  <si>
    <t>RÄPINA HAIGLA AS</t>
  </si>
  <si>
    <t>Võru mnt 1/1-1, 64504, Räpina linn, Räpina vald, Põlva maakond, Eesti Vabariik</t>
  </si>
  <si>
    <t>peeter@rapinahaigla.ee</t>
  </si>
  <si>
    <t>7999241, 7999237, 7999230, 7999244</t>
  </si>
  <si>
    <t>56291</t>
  </si>
  <si>
    <t>Muu toitlustamine</t>
  </si>
  <si>
    <t>Peeter Sibul</t>
  </si>
  <si>
    <t>TARTU HERBERT MASINGU KOOL</t>
  </si>
  <si>
    <t>Vanemuise tn 33, 51014, Tartu linn, Tartu linn, Tartu maakond, Eesti Vabariik</t>
  </si>
  <si>
    <t>kool@masing.tartu.ee</t>
  </si>
  <si>
    <t>7361686</t>
  </si>
  <si>
    <t>Siim Värv</t>
  </si>
  <si>
    <t>IDEAL BALTIC OÜ</t>
  </si>
  <si>
    <t>Peterburi tee 47c, 11415, Lasnamäe linnaosa, Tallinn, Harju maakond, Eesti Vabariik</t>
  </si>
  <si>
    <t>Hardi.Isok@idealbaltic.eu, avis@avis.ee</t>
  </si>
  <si>
    <t>6671501, 6671500</t>
  </si>
  <si>
    <t>EE102060391</t>
  </si>
  <si>
    <t>Hardi Isok</t>
  </si>
  <si>
    <t>ELVA HAIGLA SA</t>
  </si>
  <si>
    <t>Supelranna tn 21, 61505, Elva linn, Elva vald, Tartu maakond, Eesti Vabariik</t>
  </si>
  <si>
    <t>reha@ehaigla.ee</t>
  </si>
  <si>
    <t>5053424, 7370330, 7370320, 56654575, 7456265</t>
  </si>
  <si>
    <t>EE100844917</t>
  </si>
  <si>
    <t>2009.12.30</t>
  </si>
  <si>
    <t>Peeter Laasik</t>
  </si>
  <si>
    <t>VERONT SOLUTIONS OÜ</t>
  </si>
  <si>
    <t>Väike-Paala tn 2, 11415, Tallinn linn, Harju maakond, Eesti Vabariik</t>
  </si>
  <si>
    <t>info@veront.com, info@eestifirma.ee</t>
  </si>
  <si>
    <t>6346499</t>
  </si>
  <si>
    <t>64991</t>
  </si>
  <si>
    <t>Finantsteenuste osutamine</t>
  </si>
  <si>
    <t>Nikita Vieriemieiev</t>
  </si>
  <si>
    <t>TÜRI BEL-EST OÜ</t>
  </si>
  <si>
    <t>Tööstuse tn 18, 72213, Türi linn, Türi vald, Järva maakond, Eesti Vabariik</t>
  </si>
  <si>
    <t>info@belest.ee, turibelest@gmail.com</t>
  </si>
  <si>
    <t>3857015, 5279768, 3850610, 3857013</t>
  </si>
  <si>
    <t>46611</t>
  </si>
  <si>
    <t>Põllumajandusmasinate hulgimüük</t>
  </si>
  <si>
    <t>EE100381496</t>
  </si>
  <si>
    <t>Indrek Tammel</t>
  </si>
  <si>
    <t>AUDENTESE SPORDIKLUBI MTÜ</t>
  </si>
  <si>
    <t>Tondi tn 84/2, 11316, Kristiine linnaosa, Tallinn, Harju maakond, Eesti Vabariik</t>
  </si>
  <si>
    <t>peeter.tishler@audentes.ee, noortesport@audentes.ee</t>
  </si>
  <si>
    <t>6996736, 6996568, 6996600, 6996699, 6996543, 6996572</t>
  </si>
  <si>
    <t>93121</t>
  </si>
  <si>
    <t>Spordiklubide tegevus</t>
  </si>
  <si>
    <t>EE100825994</t>
  </si>
  <si>
    <t>Peeter Tišler</t>
  </si>
  <si>
    <t>10 CAPITAL OÜ</t>
  </si>
  <si>
    <t>Roseni tn 9-42, 10111, Tallinn linn, Harju maakond, Eesti Vabariik</t>
  </si>
  <si>
    <t>jussi.haverinen@vdf.fi</t>
  </si>
  <si>
    <t>400603450</t>
  </si>
  <si>
    <t>EE102086948</t>
  </si>
  <si>
    <t>Sini Hannele Haverinen</t>
  </si>
  <si>
    <t>RANNU SAEVESKI OÜ</t>
  </si>
  <si>
    <t>Lõõtsa tn 1a, 11415, Tallinn linn, Harju maakond, Eesti Vabariik</t>
  </si>
  <si>
    <t>info@rannusaeveski.ee</t>
  </si>
  <si>
    <t>5207140, 6062903, 5083841, 58016237</t>
  </si>
  <si>
    <t>EE102040007</t>
  </si>
  <si>
    <t>Simmo Soomets</t>
  </si>
  <si>
    <t>EUROFASTENERS OÜ</t>
  </si>
  <si>
    <t>Kõrtsi tee 7, 75306, Lehmja küla, Rae vald, Harju maakond, Eesti Vabariik</t>
  </si>
  <si>
    <t>jarno.kontia@eurofasteners.fi, info@eurofasteners.ee</t>
  </si>
  <si>
    <t>443706445, 452562240, 53334086</t>
  </si>
  <si>
    <t>EE101733399</t>
  </si>
  <si>
    <t>Jarmo Untamo Pietarinen</t>
  </si>
  <si>
    <t>TARTU LASTEAED RÕÕMUMAA</t>
  </si>
  <si>
    <t>Tartu linn, Vanemuise tn 28, 51003, Tartu linn, Tartu maakond, Eesti Vabariik</t>
  </si>
  <si>
    <t>midrimaa@post.raad.tartu.ee</t>
  </si>
  <si>
    <t>5231784, 7361613</t>
  </si>
  <si>
    <t>Ingrid Saarna</t>
  </si>
  <si>
    <t>INDUSTEK AS</t>
  </si>
  <si>
    <t>Pärnu mnt 139e, 11317, Kesklinna linnaosa, Tallinn, Harju maakond, Eesti Vabariik</t>
  </si>
  <si>
    <t>office@industek.ee</t>
  </si>
  <si>
    <t>6662801, 6662800</t>
  </si>
  <si>
    <t>EE100218598</t>
  </si>
  <si>
    <t>Jaak Heinloo</t>
  </si>
  <si>
    <t>OSKAR LT AS</t>
  </si>
  <si>
    <t>Saarepeedi, 70201, Saarepeedi küla, Viljandi vald, Viljandi maakond, Eesti Vabariik</t>
  </si>
  <si>
    <t>liha@oskar.ee, aldo@oskar.ee</t>
  </si>
  <si>
    <t>4334394, 4334390</t>
  </si>
  <si>
    <t>EE100222076</t>
  </si>
  <si>
    <t>Aldo Parik</t>
  </si>
  <si>
    <t>BIOBALT HOLDING OÜ</t>
  </si>
  <si>
    <t>Aiavilja tn 3-5, 90505, Haapsalu linn, Haapsalu linn, Lääne maakond, Eesti Vabariik</t>
  </si>
  <si>
    <t>silva@biobalt.com</t>
  </si>
  <si>
    <t>3453065144, 3492921369</t>
  </si>
  <si>
    <t>77401</t>
  </si>
  <si>
    <t>Intellektuaalomandi rentimine</t>
  </si>
  <si>
    <t>EE101155126</t>
  </si>
  <si>
    <t>Silva Maasing</t>
  </si>
  <si>
    <t>ESTEST PR OÜ</t>
  </si>
  <si>
    <t>Vabaduse tn 31a, 79806, Kohila alev, Kohila vald, Rapla maakond, Eesti Vabariik</t>
  </si>
  <si>
    <t>info@est-land.ee</t>
  </si>
  <si>
    <t>5145215, 5045215, 6566903</t>
  </si>
  <si>
    <t>EE100251623</t>
  </si>
  <si>
    <t>Erik Roopalu</t>
  </si>
  <si>
    <t>PM KAUBANDUSGRUPP OÜ</t>
  </si>
  <si>
    <t>Männi tn 17, 68208, Valga linn, Valga vald, Valga maakond, Eesti Vabariik</t>
  </si>
  <si>
    <t>mart@pmkaubandus.ee, info@pmkaubandus.ee</t>
  </si>
  <si>
    <t>53400524</t>
  </si>
  <si>
    <t>EE100491933</t>
  </si>
  <si>
    <t>Märt Piir</t>
  </si>
  <si>
    <t>EESTI ESITAJATE LIIT MTÜ</t>
  </si>
  <si>
    <t>Paldiski mnt 96a, 13522, Haabersti linnaosa, Tallinn, Harju maakond, Eesti Vabariik</t>
  </si>
  <si>
    <t>eel@eel.ee</t>
  </si>
  <si>
    <t>6505171</t>
  </si>
  <si>
    <t>94121</t>
  </si>
  <si>
    <t>Loomeliitude tegevus</t>
  </si>
  <si>
    <t>EE100614846</t>
  </si>
  <si>
    <t>Mihkel Mattisen</t>
  </si>
  <si>
    <t>SUURE-JAANI HALDUS AS</t>
  </si>
  <si>
    <t>Lai tn 18, 71502, Suure-Jaani linn, Põhja-Sakala vald, Viljandi maakond, Eesti Vabariik</t>
  </si>
  <si>
    <t>haldus@suure-jaani.ee, veronika.ringo@suure-jaani.ee</t>
  </si>
  <si>
    <t>4355439, 5137500, 4372054, 5072056</t>
  </si>
  <si>
    <t>36001</t>
  </si>
  <si>
    <t>Veekogumine ja- töötlus</t>
  </si>
  <si>
    <t>EE101134383</t>
  </si>
  <si>
    <t>Lembit Kruuse</t>
  </si>
  <si>
    <t>A&amp;T TRADING OÜ</t>
  </si>
  <si>
    <t>Pikk tn 99, 75101, Kose alevik, Kose vald, Harju maakond, Eesti Vabariik</t>
  </si>
  <si>
    <t>teemeise@teemeise.ee, yldinfo@aroomipood.ee</t>
  </si>
  <si>
    <t>5048623, 6756289</t>
  </si>
  <si>
    <t>EE100451643</t>
  </si>
  <si>
    <t>Annika Nielson</t>
  </si>
  <si>
    <t>AGR AUTOKESKUS OÜ</t>
  </si>
  <si>
    <t>Pärnu mnt 139e/3, 11317, Kesklinna linnaosa, Tallinn, Harju maakond, Eesti Vabariik</t>
  </si>
  <si>
    <t>agr@agr.ee</t>
  </si>
  <si>
    <t>6518087, 6518080</t>
  </si>
  <si>
    <t>EE100633649</t>
  </si>
  <si>
    <t>Agor Advelk</t>
  </si>
  <si>
    <t>MULTIMEK BALTIC OÜ</t>
  </si>
  <si>
    <t>Tselluloosi tn 2, 74305, Kehra linn, Anija vald, Harju maakond, Eesti Vabariik</t>
  </si>
  <si>
    <t>age.tuisk@multimekbaltic.com, matti.hokkanen@multimek.fi</t>
  </si>
  <si>
    <t>5161927, 405289768</t>
  </si>
  <si>
    <t>25991</t>
  </si>
  <si>
    <t>Metalltoodete tootmine</t>
  </si>
  <si>
    <t>EE101552677</t>
  </si>
  <si>
    <t>Rinno Saviir</t>
  </si>
  <si>
    <t>33151</t>
  </si>
  <si>
    <t>Laevade ja paatide remont</t>
  </si>
  <si>
    <t>MALWAREBYTES ESTONIA OÜ</t>
  </si>
  <si>
    <t>Kai tn 1, 10111, Kesklinna linnaosa, Tallinn, Harju maakond, Eesti Vabariik</t>
  </si>
  <si>
    <t>mkleczynski@malwarebytes.org</t>
  </si>
  <si>
    <t>EE101867896</t>
  </si>
  <si>
    <t>Marcin Lukasz Kleczynski</t>
  </si>
  <si>
    <t>TARTU NÄITUSED AS</t>
  </si>
  <si>
    <t>Tartu linn, F. R. Kreutzwaldi tn 60, 51014, Tartu linn, Tartu maakond, Eesti Vabariik</t>
  </si>
  <si>
    <t>info@tartunaitused.ee</t>
  </si>
  <si>
    <t>7422538, 7421793</t>
  </si>
  <si>
    <t>82301</t>
  </si>
  <si>
    <t>Nõupidamiste ja messide korraldamine</t>
  </si>
  <si>
    <t>EE100011274</t>
  </si>
  <si>
    <t>Alo Pettai</t>
  </si>
  <si>
    <t>NORDLUM OÜ</t>
  </si>
  <si>
    <t>Saeveski, 60205, Kokora küla, Peipsiääre vald, Tartu maakond, Eesti Vabariik</t>
  </si>
  <si>
    <t>tanel@nordlum.eu</t>
  </si>
  <si>
    <t>5062114</t>
  </si>
  <si>
    <t>16102</t>
  </si>
  <si>
    <t>Puidu kuivatus</t>
  </si>
  <si>
    <t>EE101583439</t>
  </si>
  <si>
    <t>Tanel Treial</t>
  </si>
  <si>
    <t>TALLINNA KRISTIINE GÜMNAASIUM</t>
  </si>
  <si>
    <t>Nõmme tee 32, 13426, Kristiine linnaosa, Tallinn, Harju maakond, Eesti Vabariik</t>
  </si>
  <si>
    <t>kristiine@kristiine.tln.edu.ee</t>
  </si>
  <si>
    <t>6513032</t>
  </si>
  <si>
    <t>OPTIMUS TUNING OÜ</t>
  </si>
  <si>
    <t>Uus-Jaani, 76915, Vatsla küla, Saue vald, Harju maakond, Eesti Vabariik</t>
  </si>
  <si>
    <t>info@optimustuning.ee</t>
  </si>
  <si>
    <t>5249887</t>
  </si>
  <si>
    <t>EE101226424</t>
  </si>
  <si>
    <t>Jaan Hokkonen</t>
  </si>
  <si>
    <t>JANVEMAR AS</t>
  </si>
  <si>
    <t>Vasara tn 46a, 50113, Tartu linn, Tartu linn, Tartu maakond, Eesti Vabariik</t>
  </si>
  <si>
    <t>info@janvemar.ee, janno@janvemar.ee, janvemar@neti.ee</t>
  </si>
  <si>
    <t>7362403, 7362406, 7362402</t>
  </si>
  <si>
    <t>EE100279346</t>
  </si>
  <si>
    <t>Janno Krantsiveer</t>
  </si>
  <si>
    <t>ELECTROBIT OÜ</t>
  </si>
  <si>
    <t>Suur-Sõjamäe tn 13a, 11415, Tallinn linn, Harju maakond, Eesti Vabariik</t>
  </si>
  <si>
    <t>info@electrobit.ee, indrek.vendelin@electrobit.ee</t>
  </si>
  <si>
    <t>6518149, 6518140</t>
  </si>
  <si>
    <t>46692</t>
  </si>
  <si>
    <t>Elektrimaterjalide hulgimüük</t>
  </si>
  <si>
    <t>EE101082723</t>
  </si>
  <si>
    <t>Indrek Vendelin</t>
  </si>
  <si>
    <t>OTTENDER &amp; VALGMÄE AS</t>
  </si>
  <si>
    <t>Kivisalu tee 9, 75501, Saku alevik, Saku vald, Harju maakond, Eesti Vabariik</t>
  </si>
  <si>
    <t>info@kodumasinad.ee</t>
  </si>
  <si>
    <t>53735949, 6728224</t>
  </si>
  <si>
    <t>EE100470815</t>
  </si>
  <si>
    <t>Toomas Valgmäe</t>
  </si>
  <si>
    <t>JÜRI TERVISEKESKUSE OÜ</t>
  </si>
  <si>
    <t>Keskväljak 1/1, 75301, Jüri alevik, Rae vald, Harju maakond, Eesti Vabariik</t>
  </si>
  <si>
    <t>info@jyritk.ee</t>
  </si>
  <si>
    <t>6048850, 6048233, 6048073</t>
  </si>
  <si>
    <t>EE102433216</t>
  </si>
  <si>
    <t>Maare Iljašenko</t>
  </si>
  <si>
    <t>AUTO JÕHVI AS</t>
  </si>
  <si>
    <t>Pargi tn 25a, 41537, Jõhvi linn, Jõhvi vald, Ida-Viru maakond, Eesti Vabariik</t>
  </si>
  <si>
    <t>info@autojohvi.ee</t>
  </si>
  <si>
    <t>5068535, 3365431, 3356431</t>
  </si>
  <si>
    <t>D</t>
  </si>
  <si>
    <t>35141</t>
  </si>
  <si>
    <t>Elektrienergia müük</t>
  </si>
  <si>
    <t>EE100122561</t>
  </si>
  <si>
    <t>Kuldar Pärnamäe</t>
  </si>
  <si>
    <t>BELANDER GRUPP OÜ</t>
  </si>
  <si>
    <t>Tulika tn 1/6, 48303, Jõgeva linn, Jõgeva vald, Jõgeva maakond, Eesti Vabariik</t>
  </si>
  <si>
    <t>belander@belander.ee, info@belander.ee, karin@belander.ee</t>
  </si>
  <si>
    <t>5236232, 5220948</t>
  </si>
  <si>
    <t>16109</t>
  </si>
  <si>
    <t>Puidusaaduste tootmine</t>
  </si>
  <si>
    <t>EE100647884</t>
  </si>
  <si>
    <t>Evald Lepik</t>
  </si>
  <si>
    <t>BESTWINE OÜ</t>
  </si>
  <si>
    <t>Kentmanni tn 6, 10116, Kesklinna linnaosa, Tallinn, Harju maakond, Eesti Vabariik</t>
  </si>
  <si>
    <t>info@bestwine.ee, triinu@bestwine.com, triinu@bestwine.ee</t>
  </si>
  <si>
    <t>6228970, 5118121, 53008500</t>
  </si>
  <si>
    <t>46341</t>
  </si>
  <si>
    <t>Alkoholi hulgimüük</t>
  </si>
  <si>
    <t>EE101118736</t>
  </si>
  <si>
    <t>Jälgi ja/või vähenda limiiti</t>
  </si>
  <si>
    <t>Triinu Van Buuren</t>
  </si>
  <si>
    <t>JOTUNHEIM TECHNOLOGIES OÜ</t>
  </si>
  <si>
    <t>Lõkke tn 4, 10122, Tallinn linn, Harju maakond, Eesti Vabariik</t>
  </si>
  <si>
    <t>javier@ftrconsultants.ee</t>
  </si>
  <si>
    <t>62021</t>
  </si>
  <si>
    <t>Arvutialased konsultatsioonid</t>
  </si>
  <si>
    <t>Francisco Javier Ortiz De Artiñano Jimenez</t>
  </si>
  <si>
    <t>ATLANTEX OÜ</t>
  </si>
  <si>
    <t>A. H. Tammsaare tee 47, 11316, Tallinn linn, Harju maakond, Eesti Vabariik</t>
  </si>
  <si>
    <t>info@eestifirma.ee, atlantex.oy@eesti.ee, info@atlant-ex.eu</t>
  </si>
  <si>
    <t>29368082, 59423065</t>
  </si>
  <si>
    <t>370</t>
  </si>
  <si>
    <t>Anastasia Osipova</t>
  </si>
  <si>
    <t>VÄRSKA SANATOORIUM AS</t>
  </si>
  <si>
    <t>Sanatooriumi/4, 64034, Väike-Rõsna küla, Setomaa vald, Võru maakond, Eesti Vabariik</t>
  </si>
  <si>
    <t>vello.saar@spavarska.ee</t>
  </si>
  <si>
    <t>7993903, 7964686, 7993900, 7993902</t>
  </si>
  <si>
    <t>EE100007903</t>
  </si>
  <si>
    <t>Vello Saar</t>
  </si>
  <si>
    <t>JÕHVI KAUBAKESKUSE OÜ</t>
  </si>
  <si>
    <t>Keskväljak 6, 41536, Jõhvi linn, Jõhvi vald, Ida-Viru maakond, Eesti Vabariik</t>
  </si>
  <si>
    <t>lily@rendipinnad.ee, johvi@rendipinnad.ee</t>
  </si>
  <si>
    <t>5030086, 3356229, 5285888</t>
  </si>
  <si>
    <t>EE100137132</t>
  </si>
  <si>
    <t>Toonart Rääsk</t>
  </si>
  <si>
    <t>NORDAST MARINEN OÜ</t>
  </si>
  <si>
    <t>Kopli tn 25a-402, 10412, Põhja-Tallinna linnaosa, Tallinn, Harju maakond, Eesti Vabariik</t>
  </si>
  <si>
    <t>ap@nordast.com, info@nordast.com</t>
  </si>
  <si>
    <t>53401596, 5087047</t>
  </si>
  <si>
    <t>EE101436997</t>
  </si>
  <si>
    <t>Andrei Pokras</t>
  </si>
  <si>
    <t>PERNAUER OÜ</t>
  </si>
  <si>
    <t>Pärnu linn, Rehepapi tn 28, 80043, Pärnu linn, Pärnu maakond, Eesti Vabariik</t>
  </si>
  <si>
    <t>pernauer@pernauer.ee, veeris21@gmail.com</t>
  </si>
  <si>
    <t>5113904, 5277626</t>
  </si>
  <si>
    <t>11051</t>
  </si>
  <si>
    <t>Õlletootmine</t>
  </si>
  <si>
    <t>EE101936031</t>
  </si>
  <si>
    <t>Ragnar Koppel</t>
  </si>
  <si>
    <t>NARVA PAJU KOOL</t>
  </si>
  <si>
    <t>A. Juhhanovi tn 3, 20609, Narva linn, Ida-Viru maakond, Eesti Vabariik</t>
  </si>
  <si>
    <t>kool@paju.edu.ee</t>
  </si>
  <si>
    <t>3560230, 3569465, 3569464</t>
  </si>
  <si>
    <t>Olesja Ojamäe</t>
  </si>
  <si>
    <t>TIBNOR ESTONIA AS</t>
  </si>
  <si>
    <t>Männiku tee 140, 75511, Männiku küla, Saku vald, Harju maakond, Eesti Vabariik</t>
  </si>
  <si>
    <t>metal.ee@tibnor.com, metall.ee@tibnor.com</t>
  </si>
  <si>
    <t>6588920</t>
  </si>
  <si>
    <t>46721</t>
  </si>
  <si>
    <t>Metallide hulgimüük</t>
  </si>
  <si>
    <t>EE102021877</t>
  </si>
  <si>
    <t>Richard Dobrus</t>
  </si>
  <si>
    <t>WARMA AUTO OÜ</t>
  </si>
  <si>
    <t>Tallinna tn 82a, 93815, Kuressaare linn, Saaremaa vald, Saare maakond, Eesti Vabariik</t>
  </si>
  <si>
    <t>igor.leemet@warmaauto.ee, info@warmaauto.ee</t>
  </si>
  <si>
    <t>4530129, 4530123, 4530120</t>
  </si>
  <si>
    <t>EE100707876</t>
  </si>
  <si>
    <t>Igor Leemet</t>
  </si>
  <si>
    <t>KTS BALTIC OÜ</t>
  </si>
  <si>
    <t>Ehitajate tee 110a, 13517, Tallinn linn, Harju maakond, Eesti Vabariik</t>
  </si>
  <si>
    <t>info@ktsbaltic.ee</t>
  </si>
  <si>
    <t>5269522, 6547150</t>
  </si>
  <si>
    <t>46131</t>
  </si>
  <si>
    <t>Puidu ja ehitusmaterjalide vahendamine</t>
  </si>
  <si>
    <t>EE100646568</t>
  </si>
  <si>
    <t>Sergei Matrossov</t>
  </si>
  <si>
    <t>GLASSIMPEX OÜ</t>
  </si>
  <si>
    <t>Narva mnt 63/1, 10120, Tallinn linn, Harju maakond, Eesti Vabariik</t>
  </si>
  <si>
    <t>secretary@andres.ee, glassimpex@andres.ee</t>
  </si>
  <si>
    <t>6644555, 6644556, 6644560</t>
  </si>
  <si>
    <t>EE101423078</t>
  </si>
  <si>
    <t>Vjatšeslav Zolotarjov</t>
  </si>
  <si>
    <t>7 FIGURES OÜ</t>
  </si>
  <si>
    <t>Vesivärava tn 50, 10126, Tallinn linn, Harju maakond, Eesti Vabariik</t>
  </si>
  <si>
    <t>invoice@motherlink.io</t>
  </si>
  <si>
    <t>53233216</t>
  </si>
  <si>
    <t>EE102066382</t>
  </si>
  <si>
    <t>Aleksandr Lilik</t>
  </si>
  <si>
    <t>RALFI VEOSED OÜ</t>
  </si>
  <si>
    <t>Rauno, 46208, Avispea küla, Väike-Maarja vald, Lääne-Viru maakond, Eesti Vabariik</t>
  </si>
  <si>
    <t>ralfiveosed@gmail.com, info@ralfiveosed.ee</t>
  </si>
  <si>
    <t>5116174, 56861138</t>
  </si>
  <si>
    <t>EE101503257</t>
  </si>
  <si>
    <t>Ralf Saage</t>
  </si>
  <si>
    <t>CHAKRA OÜ</t>
  </si>
  <si>
    <t>Bremeni käik 1, 10123, Kesklinna linnaosa, Tallinn, Harju maakond, Eesti Vabariik</t>
  </si>
  <si>
    <t>ikram@chakra.ee, raul@cafevs.ee, triin@chakra.ee, info@chakra.ee</t>
  </si>
  <si>
    <t>55687183, 56457875, 6412615</t>
  </si>
  <si>
    <t>78201</t>
  </si>
  <si>
    <t>Tööjõu rent</t>
  </si>
  <si>
    <t>EE101299927</t>
  </si>
  <si>
    <t>Darryl Alfred Hydes</t>
  </si>
  <si>
    <t>KLAASISSEPA OÜ</t>
  </si>
  <si>
    <t>Pähklimetsa tee 24, 75501, Saku alevik, Saku vald, Harju maakond, Eesti Vabariik</t>
  </si>
  <si>
    <t>info@klaasissepa.ee</t>
  </si>
  <si>
    <t>5023800, 6485848, 6485868, 5114488</t>
  </si>
  <si>
    <t>EE100307959</t>
  </si>
  <si>
    <t>Urmas Sepp</t>
  </si>
  <si>
    <t>LTH-BAAS AS</t>
  </si>
  <si>
    <t>Tuukri tn 5, Tallinn linn, Harju maakond, Eesti Vabariik</t>
  </si>
  <si>
    <t>info@lth-baas.com, info@lth.ee</t>
  </si>
  <si>
    <t>5247760, 6660130, 6660131</t>
  </si>
  <si>
    <t>45111</t>
  </si>
  <si>
    <t>Sõiduautode müük</t>
  </si>
  <si>
    <t>EE100356955</t>
  </si>
  <si>
    <t>Aleksandr Maljugin</t>
  </si>
  <si>
    <t>DUUBEL D OÜ</t>
  </si>
  <si>
    <t>Ploomi tn 16, 90401, Uuemõisa alevik, Haapsalu linn, Lääne maakond, Eesti Vabariik</t>
  </si>
  <si>
    <t>duubeld@gmail.com, duubeld@hot.ee</t>
  </si>
  <si>
    <t>5111373, 4731202</t>
  </si>
  <si>
    <t>43111</t>
  </si>
  <si>
    <t>Lammutamine ehitusplatsidel</t>
  </si>
  <si>
    <t>EE100405301</t>
  </si>
  <si>
    <t>Marek Schneider</t>
  </si>
  <si>
    <t>TEKNOS OÜ</t>
  </si>
  <si>
    <t>Laki tn 3a, 10621, Kristiine linnaosa, Tallinn, Harju maakond, Eesti Vabariik</t>
  </si>
  <si>
    <t>teknos@teknos.ee</t>
  </si>
  <si>
    <t>6563491</t>
  </si>
  <si>
    <t>EE100089688</t>
  </si>
  <si>
    <t>Marko Kübarsepp</t>
  </si>
  <si>
    <t>R&amp;P GRUPP OÜ</t>
  </si>
  <si>
    <t>Kadaka tee 1, 10621, Mustamäe linnaosa, Tallinn, Harju maakond, Eesti Vabariik</t>
  </si>
  <si>
    <t>info@rpgrupp.com</t>
  </si>
  <si>
    <t>5104800, 6507472, 6507474</t>
  </si>
  <si>
    <t>45311</t>
  </si>
  <si>
    <t>Mootorsõidukite lisaseadmete hulgimüük</t>
  </si>
  <si>
    <t>EE100531929</t>
  </si>
  <si>
    <t>Sven Truupõld</t>
  </si>
  <si>
    <t>EHITUSINSENER OÜ</t>
  </si>
  <si>
    <t>Järvevana tee 9f, 11314, Tallinn linn, Harju maakond, Eesti Vabariik</t>
  </si>
  <si>
    <t>info@einsener.ee, marten.ehitusinsener@gmail.com</t>
  </si>
  <si>
    <t>53322598</t>
  </si>
  <si>
    <t>EE101966302</t>
  </si>
  <si>
    <t>Marven Aus</t>
  </si>
  <si>
    <t>TOIKAKO KAUBANDUS OÜ</t>
  </si>
  <si>
    <t>Türi tn 3/2, 11313, Kesklinna linnaosa, Tallinn, Harju maakond, Eesti Vabariik</t>
  </si>
  <si>
    <t>info@toikako.ee</t>
  </si>
  <si>
    <t>5052981, 5045661, 6558188</t>
  </si>
  <si>
    <t>EE100680401</t>
  </si>
  <si>
    <t>Meelis Tamme</t>
  </si>
  <si>
    <t>NEISER GROUP AS</t>
  </si>
  <si>
    <t>Seljaku tn 6, 76401, Laagri alevik, Saue vald, Harju maakond, Eesti Vabariik</t>
  </si>
  <si>
    <t>neiser@neiser.ee</t>
  </si>
  <si>
    <t>6518901, 5073435, 6518900, 6518902</t>
  </si>
  <si>
    <t>31091</t>
  </si>
  <si>
    <t>Mööbli tootmine</t>
  </si>
  <si>
    <t>EE100186002</t>
  </si>
  <si>
    <t>Jori Pekka Ala-Jyrä</t>
  </si>
  <si>
    <t>G4S EESTI AS</t>
  </si>
  <si>
    <t>Paldiski mnt 80, 10617, Tallinn linn, Harju maakond, Eesti Vabariik</t>
  </si>
  <si>
    <t>g4s@ee.g4s.com</t>
  </si>
  <si>
    <t>6511888, 6511700</t>
  </si>
  <si>
    <t>43212</t>
  </si>
  <si>
    <t>Valvesignalisatsiooni paigaldus</t>
  </si>
  <si>
    <t>EE100642889</t>
  </si>
  <si>
    <t>Villu Õun</t>
  </si>
  <si>
    <t>NAPS SOLAR ESTONIA OÜ</t>
  </si>
  <si>
    <t>Piirimäe tn 8, 76406, Tänassilma küla, Saku vald, Harju maakond, Eesti Vabariik</t>
  </si>
  <si>
    <t>info@napssolar.ee</t>
  </si>
  <si>
    <t>6566829</t>
  </si>
  <si>
    <t>EE101394754</t>
  </si>
  <si>
    <t>Rain Reitmann</t>
  </si>
  <si>
    <t>RENLOG EESTI OÜ</t>
  </si>
  <si>
    <t>Seedri, 62411, Lääniste küla, Kastre vald, Tartu maakond, Eesti Vabariik</t>
  </si>
  <si>
    <t>info@renlog.ee, argo@renlog.ee</t>
  </si>
  <si>
    <t>5174303</t>
  </si>
  <si>
    <t>EE101419406</t>
  </si>
  <si>
    <t>Argo Teral</t>
  </si>
  <si>
    <t>ATRIA FARMID OÜ</t>
  </si>
  <si>
    <t>Metsa tn 19, 68206, Valga linn, Valga vald, Valga maakond, Eesti Vabariik</t>
  </si>
  <si>
    <t>farmid@atria.com, farmid@atria.ee</t>
  </si>
  <si>
    <t>5152630</t>
  </si>
  <si>
    <t>01621</t>
  </si>
  <si>
    <t>Loomakasvatuse abitegevused</t>
  </si>
  <si>
    <t>EE101500580</t>
  </si>
  <si>
    <t>Olle Horm</t>
  </si>
  <si>
    <t>VANDENI KINDLUSTUSMAAKLERID AS</t>
  </si>
  <si>
    <t>Tornimäe tn 7, 10145, Kesklinna linnaosa, Tallinn, Harju maakond, Eesti Vabariik</t>
  </si>
  <si>
    <t>info@vanden.ee, raul@vanden.ee, ketlin@vanden.ee, info@kindlustusmaakler.ee</t>
  </si>
  <si>
    <t>6164551, 6271765, 6164550</t>
  </si>
  <si>
    <t>66221</t>
  </si>
  <si>
    <t>Kindlustusagentide tegevus</t>
  </si>
  <si>
    <t>EE100597196</t>
  </si>
  <si>
    <t>2004.09.13</t>
  </si>
  <si>
    <t>Raul Källo</t>
  </si>
  <si>
    <t>BASSADONE BALTIC OÜ</t>
  </si>
  <si>
    <t>Jälgimäe tee 1, 76406, Tänassilma küla, Saku vald, Harju maakond, Eesti Vabariik</t>
  </si>
  <si>
    <t>antti.ruhanen@bassadone.fi, Raine.Valkila@bassadone.fi</t>
  </si>
  <si>
    <t>407006282</t>
  </si>
  <si>
    <t>EE102416877</t>
  </si>
  <si>
    <t>Antti Petteri Ruhanen</t>
  </si>
  <si>
    <t>VILDE AS</t>
  </si>
  <si>
    <t>Vahe tn 7, 41531, Jõhvi linn, Jõhvi vald, Ida-Viru maakond, Eesti Vabariik</t>
  </si>
  <si>
    <t>info@vilde.eu, johvi@vildeas.ee, vilde@vildeas.ee</t>
  </si>
  <si>
    <t>3371174, 3371133</t>
  </si>
  <si>
    <t>EE100120217</t>
  </si>
  <si>
    <t>Juri Vilde</t>
  </si>
  <si>
    <t>HEELIX GRUPP AS</t>
  </si>
  <si>
    <t>Valga tn 70, 68607, Tõrva linn, Tõrva vald, Valga maakond, Eesti Vabariik</t>
  </si>
  <si>
    <t>enno@heelix.ee, info@heelix.ee</t>
  </si>
  <si>
    <t>55566500, 7679525, 7633654</t>
  </si>
  <si>
    <t>EE100493216</t>
  </si>
  <si>
    <t>Enno Järvekald</t>
  </si>
  <si>
    <t>ONLINE ONLY OÜ</t>
  </si>
  <si>
    <t>Pärnu mnt 126-47, 11313, Tallinn linn, Harju maakond, Eesti Vabariik</t>
  </si>
  <si>
    <t>hello@onlineonly.com, eeonlineonly@gmail.com</t>
  </si>
  <si>
    <t>54625965</t>
  </si>
  <si>
    <t>EE101723956</t>
  </si>
  <si>
    <t>Mikk Leiner</t>
  </si>
  <si>
    <t>ÖUN DRINKS OÜ</t>
  </si>
  <si>
    <t>Lao, 94248, Karja küla, Saaremaa vald, Saare maakond, Eesti Vabariik</t>
  </si>
  <si>
    <t>ainar@oun.ee, piret@oun.ee</t>
  </si>
  <si>
    <t>5135374, 5088456</t>
  </si>
  <si>
    <t>11031</t>
  </si>
  <si>
    <t>Puuviljaveini tootmine</t>
  </si>
  <si>
    <t>EE101573368</t>
  </si>
  <si>
    <t>Ainar Sepp</t>
  </si>
  <si>
    <t>KAUBAEKSPRESS OÜ</t>
  </si>
  <si>
    <t>Reti tee 4, 75301, Peetri alevik, Rae vald, Harju maakond, Eesti Vabariik</t>
  </si>
  <si>
    <t>info@kaubaekspress.ee, marika@kaubaekspress.ee</t>
  </si>
  <si>
    <t>6711210, 6711216, 56220676</t>
  </si>
  <si>
    <t>EE100080328</t>
  </si>
  <si>
    <t>Marika Kullamaa</t>
  </si>
  <si>
    <t>PROMENS AS</t>
  </si>
  <si>
    <t>Tehase tn 4, 61001, Rõngu alevik, Elva vald, Tartu maakond, Eesti Vabariik</t>
  </si>
  <si>
    <t>eesti@promens.com, ylle.lembke@promens.com</t>
  </si>
  <si>
    <t>7371821, 7307230</t>
  </si>
  <si>
    <t>2222</t>
  </si>
  <si>
    <t>Plasttaara tootmine</t>
  </si>
  <si>
    <t>EE100273151</t>
  </si>
  <si>
    <t>Lauri Kiivit</t>
  </si>
  <si>
    <t>DANCE FACTORY OÜ</t>
  </si>
  <si>
    <t>Hobujaama tn 12, 10151, Tallinn linn, Harju maakond, Eesti Vabariik</t>
  </si>
  <si>
    <t>info@dancefactory.ee</t>
  </si>
  <si>
    <t>5115020, 6825067</t>
  </si>
  <si>
    <t>90011</t>
  </si>
  <si>
    <t>Teatri- ja tantsuetenduste tegevused</t>
  </si>
  <si>
    <t>EE101163008</t>
  </si>
  <si>
    <t>Eveli Rebane</t>
  </si>
  <si>
    <t>antti.ruhanen@bassadone.fi</t>
  </si>
  <si>
    <t>Ahto Orav</t>
  </si>
  <si>
    <t>Andrus Talsi</t>
  </si>
  <si>
    <t>Andrias Tammistu</t>
  </si>
  <si>
    <t>Antonio Chiesi</t>
  </si>
  <si>
    <t>Aivar Kabrits</t>
  </si>
  <si>
    <t>Nimi</t>
  </si>
  <si>
    <t>Amet</t>
  </si>
  <si>
    <t>Juhatuse liige</t>
  </si>
  <si>
    <t>Daniel Andreas Skjeldam</t>
  </si>
  <si>
    <t>Värbamisspetsialist</t>
  </si>
  <si>
    <t>Aivo Aasa</t>
  </si>
  <si>
    <t>aivo.aasa@sivex.ee</t>
  </si>
  <si>
    <t>(+372)5096261</t>
  </si>
  <si>
    <t>Personalijuht</t>
  </si>
  <si>
    <t>anti@sarles.ee</t>
  </si>
  <si>
    <t>(+372)5107087</t>
  </si>
  <si>
    <t>Andrus Oraka</t>
  </si>
  <si>
    <t>tallinn@kemmerling.ee</t>
  </si>
  <si>
    <t>(+372)1929</t>
  </si>
  <si>
    <t>Osakonnajuhataja</t>
  </si>
  <si>
    <t>aivar.kabrits@tallinnlv.ee, aivar@kadriorupark.ee</t>
  </si>
  <si>
    <t>(+372)5066409</t>
  </si>
  <si>
    <t>Haldusosakonna juhataja</t>
  </si>
  <si>
    <t>rainer@kadriorupark.ee</t>
  </si>
  <si>
    <t>(+372)5025898</t>
  </si>
  <si>
    <t>AGE TOONMAA</t>
  </si>
  <si>
    <t>Tööjuht</t>
  </si>
  <si>
    <t>age@kadriorupark.ee</t>
  </si>
  <si>
    <t>(+372)5212925</t>
  </si>
  <si>
    <t>Age Toonmaa</t>
  </si>
  <si>
    <t>(+372)51982822</t>
  </si>
  <si>
    <t>asso.lankots@leibur.ee</t>
  </si>
  <si>
    <t>(+372)5073180,(+372)6504777</t>
  </si>
  <si>
    <t>toivoa@hot.ee</t>
  </si>
  <si>
    <t>(+372)6512302</t>
  </si>
  <si>
    <t>Andrus Kolomainen</t>
  </si>
  <si>
    <t>connect@reflekt.ee</t>
  </si>
  <si>
    <t>alistron@hot.ee</t>
  </si>
  <si>
    <t>(+372)5014184,(+372)6720428</t>
  </si>
  <si>
    <t>Aleksandra Gorohhova</t>
  </si>
  <si>
    <t>peaslogistika@gmail.com</t>
  </si>
  <si>
    <t>(+372)55637968</t>
  </si>
  <si>
    <t>andres@eurex.ee</t>
  </si>
  <si>
    <t>(+372)6164120</t>
  </si>
  <si>
    <t>Aare Pilv</t>
  </si>
  <si>
    <t>aare@lotustimber.ee</t>
  </si>
  <si>
    <t>andrus@acrulam.ee</t>
  </si>
  <si>
    <t>(+372)56485756,(+372)53341448</t>
  </si>
  <si>
    <t>andres@mpvara.ee,jaanus.pettai@outlook.com</t>
  </si>
  <si>
    <t>(+372)5016600</t>
  </si>
  <si>
    <t>(+372)5073000</t>
  </si>
  <si>
    <t>asedirektor tehnika- ja tootmise alal</t>
  </si>
  <si>
    <t>Asedirektor tehnika- ja tootmise alal</t>
  </si>
  <si>
    <t>vitali@tehnoplast.ee</t>
  </si>
  <si>
    <t>Suurkliendihaldur</t>
  </si>
  <si>
    <t>Airi Reinhold</t>
  </si>
  <si>
    <t>airi.reinhold@horticom.ee</t>
  </si>
  <si>
    <t>(+372)53022845</t>
  </si>
  <si>
    <t>andrei@enveko.ee</t>
  </si>
  <si>
    <t>(+372)53420570,(+372)57502323</t>
  </si>
  <si>
    <t>elva.ke@mail.ee</t>
  </si>
  <si>
    <t>(+372)5039061,(+372)7456449</t>
  </si>
  <si>
    <t>Arno Veski</t>
  </si>
  <si>
    <t>arno@balsnack.ee</t>
  </si>
  <si>
    <t>(+372)56233922</t>
  </si>
  <si>
    <t>Andres Peetrik</t>
  </si>
  <si>
    <t>Tehnikajuht</t>
  </si>
  <si>
    <t>andres@balsnack.ee</t>
  </si>
  <si>
    <t>(+372)5142751</t>
  </si>
  <si>
    <t>Personaliotsingu ettevõtte esindaja</t>
  </si>
  <si>
    <t>tammistu@gmail.com,andrias@taufauto.ee,andrias@aastaauto.ee</t>
  </si>
  <si>
    <t>(+372)7308000,(+372)5020949</t>
  </si>
  <si>
    <t>andres.arnover@gmail.com</t>
  </si>
  <si>
    <t>(+372)53737616</t>
  </si>
  <si>
    <t>astrid@on24.ee</t>
  </si>
  <si>
    <t>(+372)5143890,(+372)4354370</t>
  </si>
  <si>
    <t>aanikin@hot.ee</t>
  </si>
  <si>
    <t>Arvi Tammel</t>
  </si>
  <si>
    <t>arvi.tammel@atammel.ee</t>
  </si>
  <si>
    <t>(+372)5279768,(+372)4349555</t>
  </si>
  <si>
    <t>ahtoorav@hot.ee</t>
  </si>
  <si>
    <t>(+372)6996546</t>
  </si>
  <si>
    <t>Asutuse esindusõiguslik isik</t>
  </si>
  <si>
    <t>aldo@oskar.ee</t>
  </si>
  <si>
    <t>(+372)5033811,(+372)4334390</t>
  </si>
  <si>
    <t>Andres Pallas</t>
  </si>
  <si>
    <t>andres@est-land.ee</t>
  </si>
  <si>
    <t>(+372)5145215</t>
  </si>
  <si>
    <t>yldinfo@aroomipood.ee</t>
  </si>
  <si>
    <t>(+372)6430300</t>
  </si>
  <si>
    <t>agor@agr.ee</t>
  </si>
  <si>
    <t>(+372)6518080</t>
  </si>
  <si>
    <t>Darja Lahk</t>
  </si>
  <si>
    <t>Tööandjate konsultant</t>
  </si>
  <si>
    <t>darja.lahk@tootukassa.ee</t>
  </si>
  <si>
    <t>alo@tartunaitused.ee</t>
  </si>
  <si>
    <t>(+372)7421793,(+372)5042575,(+372)53468488</t>
  </si>
  <si>
    <t>Annika Pettai-Urbel</t>
  </si>
  <si>
    <t>annika@tartunaitused.ee</t>
  </si>
  <si>
    <t>Anneli Ast</t>
  </si>
  <si>
    <t>Tootejuht ja sommeljee</t>
  </si>
  <si>
    <t>anneli@bestwine.ee</t>
  </si>
  <si>
    <t>(+372)5052875</t>
  </si>
  <si>
    <t>atlantex.oy@eesti.ee</t>
  </si>
  <si>
    <t>(+372)53016045</t>
  </si>
  <si>
    <t>Anneli Ilves</t>
  </si>
  <si>
    <t>(+372)5046118</t>
  </si>
  <si>
    <t>kivihoov@hot.ee,andrus.talsi@gmail.com</t>
  </si>
  <si>
    <t>(+372)5030086,(+372)3374009</t>
  </si>
  <si>
    <t>Andržei Toom</t>
  </si>
  <si>
    <t>andrzei@hot.ee</t>
  </si>
  <si>
    <t>(+372)5087047</t>
  </si>
  <si>
    <t>andrei.pokras@gmail.co</t>
  </si>
  <si>
    <t>(+372)5027111</t>
  </si>
  <si>
    <t>direktor@paju.edu.ee</t>
  </si>
  <si>
    <t>(+372)3560230</t>
  </si>
  <si>
    <t>aleksandr@motherlink.io</t>
  </si>
  <si>
    <t>(+372)53233216</t>
  </si>
  <si>
    <t>darrylhydes@gmail.com</t>
  </si>
  <si>
    <t>(+372)6412615</t>
  </si>
  <si>
    <t>aleksandr.maljugin@lth-baas.com</t>
  </si>
  <si>
    <t>(+372)6660130,(+372)6660147,(+372)5247760</t>
  </si>
  <si>
    <t>Turvajuht</t>
  </si>
  <si>
    <t>Argo Raag</t>
  </si>
  <si>
    <t>argo.raag@ee.g4s.com</t>
  </si>
  <si>
    <t>(+372)5281110</t>
  </si>
  <si>
    <t>Aveliin Kalviste</t>
  </si>
  <si>
    <t>personal@ee.g4s.com</t>
  </si>
  <si>
    <t>(+372)6511787</t>
  </si>
  <si>
    <t>Andres Sakkov</t>
  </si>
  <si>
    <t>andres.sakkov@ee.g4s.com</t>
  </si>
  <si>
    <t>(+372)5251705</t>
  </si>
  <si>
    <t>argo@renlog.ee</t>
  </si>
  <si>
    <t>(+372)5174303</t>
  </si>
  <si>
    <t>Antti Markus Vuolle</t>
  </si>
  <si>
    <t>markus.vuolle@live.com</t>
  </si>
  <si>
    <t>(+358)407006282</t>
  </si>
  <si>
    <t>ainar.sepp@eesti.ee</t>
  </si>
  <si>
    <t>(+372)5088456</t>
  </si>
  <si>
    <t>Rainer Velt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</si>
</sst>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5" formatCode="dd\.mm\.yyyy"/>
    <numFmt numFmtId="166" formatCode="yyyy\-mm\-dd"/>
    <numFmt numFmtId="167" formatCode="#,##0\ \€"/>
  </numFmts>
  <fonts count="8" x14ac:knownFonts="1">
    <font>
      <sz val="11"/>
      <color theme="1"/>
      <name val="Calibri"/>
      <family val="2"/>
      <scheme val="minor"/>
    </font>
    <font>
      <b/>
      <sz val="11"/>
      <color rgb="FF0777D9"/>
      <name val="Calibri"/>
      <family val="2"/>
    </font>
    <font>
      <b/>
      <sz val="11"/>
      <color rgb="FF93003C"/>
      <name val="Calibri"/>
      <family val="2"/>
    </font>
    <font>
      <b/>
      <sz val="11"/>
      <color rgb="FF409A3C"/>
      <name val="Calibri"/>
      <family val="2"/>
    </font>
    <font>
      <b/>
      <sz val="11"/>
      <color rgb="FF8DC63F"/>
      <name val="Calibri"/>
      <family val="2"/>
    </font>
    <font>
      <b/>
      <sz val="11"/>
      <color rgb="FFF37121"/>
      <name val="Calibri"/>
      <family val="2"/>
    </font>
    <font>
      <b/>
      <sz val="11"/>
      <color rgb="FFFFCB05"/>
      <name val="Calibri"/>
      <family val="2"/>
    </font>
    <font>
      <b/>
      <sz val="11"/>
      <color rgb="FFFFFFFF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3D8F"/>
        <bgColor rgb="FF003D8F"/>
      </patternFill>
    </fill>
    <fill>
      <patternFill patternType="solid">
        <fgColor rgb="FF0097C4"/>
        <bgColor rgb="FF0097C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7" fillId="2" borderId="0" xfId="0" applyFont="1" applyFill="1" applyAlignment="1">
      <alignment vertical="top" wrapText="1"/>
    </xf>
    <xf numFmtId="0" fontId="7" fillId="3" borderId="0" xfId="0" applyFont="1" applyFill="1" applyAlignment="1">
      <alignment vertical="top" wrapText="1"/>
    </xf>
    <xf numFmtId="165" fontId="0" fillId="0" borderId="0" xfId="0" applyNumberFormat="1"/>
    <xf numFmtId="0" fontId="1" fillId="0" borderId="0" xfId="0" applyFont="1"/>
    <xf numFmtId="166" fontId="0" fillId="0" borderId="0" xfId="0" applyNumberFormat="1"/>
    <xf numFmtId="167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66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60"/>
  <sheetViews>
    <sheetView tabSelected="1" workbookViewId="0">
      <pane xSplit="2" ySplit="1" topLeftCell="C2" activePane="bottomRight" state="frozen"/>
      <selection pane="topRight"/>
      <selection pane="bottomLeft"/>
      <selection pane="bottomRight" activeCell="E136" sqref="E136"/>
    </sheetView>
  </sheetViews>
  <sheetFormatPr defaultRowHeight="15" outlineLevelCol="1" x14ac:dyDescent="0.25"/>
  <cols>
    <col min="1" max="1" width="11" customWidth="1"/>
    <col min="2" max="2" width="25" customWidth="1"/>
    <col min="3" max="3" width="11" customWidth="1"/>
    <col min="5" max="5" width="15" customWidth="1"/>
    <col min="7" max="7" width="20.7109375" customWidth="1"/>
    <col min="9" max="9" width="11" customWidth="1"/>
    <col min="10" max="10" width="6.42578125" customWidth="1"/>
    <col min="11" max="11" width="11" customWidth="1"/>
    <col min="15" max="15" width="11.85546875" customWidth="1"/>
    <col min="17" max="17" width="11" customWidth="1"/>
    <col min="19" max="21" width="13" hidden="1" customWidth="1" outlineLevel="1"/>
    <col min="22" max="22" width="9.140625" collapsed="1"/>
  </cols>
  <sheetData>
    <row r="1" spans="1:38" ht="60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2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2" t="s">
        <v>24</v>
      </c>
      <c r="Z1" s="1" t="s">
        <v>25</v>
      </c>
      <c r="AA1" s="2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2" t="s">
        <v>33</v>
      </c>
      <c r="AI1" s="1" t="s">
        <v>34</v>
      </c>
      <c r="AJ1" s="1" t="s">
        <v>35</v>
      </c>
      <c r="AK1" s="1" t="s">
        <v>36</v>
      </c>
      <c r="AL1" s="2" t="s">
        <v>37</v>
      </c>
    </row>
    <row r="2" spans="1:38" x14ac:dyDescent="0.25">
      <c r="A2">
        <v>11177055</v>
      </c>
      <c r="B2" t="s">
        <v>38</v>
      </c>
      <c r="C2" s="3">
        <v>38636</v>
      </c>
      <c r="D2" t="s">
        <v>39</v>
      </c>
      <c r="E2" t="s">
        <v>40</v>
      </c>
      <c r="F2" s="4" t="str">
        <f>HYPERLINK("https://ssb.ee/11177055-ID/otsustajad-kasusaajad","link")</f>
        <v>link</v>
      </c>
      <c r="G2" t="s">
        <v>41</v>
      </c>
      <c r="H2" t="s">
        <v>42</v>
      </c>
      <c r="I2" s="4" t="str">
        <f>HYPERLINK("https://pvc-hallid.ee/","link")</f>
        <v>link</v>
      </c>
      <c r="J2" t="s">
        <v>43</v>
      </c>
      <c r="K2" t="s">
        <v>44</v>
      </c>
      <c r="L2" t="s">
        <v>45</v>
      </c>
      <c r="M2" s="4" t="str">
        <f>HYPERLINK("https://ssb.ee/11177055-ID/meedia-arvamuslood","link")</f>
        <v>link</v>
      </c>
      <c r="N2" t="s">
        <v>46</v>
      </c>
      <c r="O2" s="5">
        <v>38782</v>
      </c>
      <c r="P2" t="s">
        <v>47</v>
      </c>
      <c r="Q2" s="6">
        <v>80700</v>
      </c>
      <c r="R2">
        <v>2021</v>
      </c>
      <c r="S2" s="7" t="s">
        <v>47</v>
      </c>
      <c r="T2" s="7" t="s">
        <v>47</v>
      </c>
      <c r="U2" s="7" t="s">
        <v>47</v>
      </c>
      <c r="V2">
        <v>0.01</v>
      </c>
      <c r="W2" s="8" t="s">
        <v>48</v>
      </c>
      <c r="X2" t="s">
        <v>49</v>
      </c>
      <c r="Y2" s="4" t="str">
        <f>HYPERLINK("https://ssb.ee/11177055-ID/kohustused-volad-kohtulahendid","link")</f>
        <v>link</v>
      </c>
      <c r="Z2">
        <v>3160</v>
      </c>
      <c r="AA2" s="4" t="str">
        <f>HYPERLINK("https://ssb.ee/11177055-ID/finantsid-varad-prognoosid","link")</f>
        <v>link</v>
      </c>
      <c r="AB2" s="6">
        <v>130968</v>
      </c>
      <c r="AC2" s="6">
        <v>12641</v>
      </c>
      <c r="AD2" s="6">
        <v>1066193</v>
      </c>
      <c r="AE2">
        <v>6</v>
      </c>
      <c r="AF2" s="6">
        <v>2820594</v>
      </c>
      <c r="AG2" s="6">
        <v>1390</v>
      </c>
      <c r="AH2" s="4" t="str">
        <f>HYPERLINK("https://ssb.ee/11177055-ID/tootajad-palgad","link")</f>
        <v>link</v>
      </c>
      <c r="AI2" t="s">
        <v>50</v>
      </c>
      <c r="AJ2">
        <v>0.33800000000000002</v>
      </c>
      <c r="AK2" s="9" t="s">
        <v>51</v>
      </c>
      <c r="AL2" s="4" t="str">
        <f>HYPERLINK("https://ssb.ee/juhatuse-liikme-cv?id=420580","link")</f>
        <v>link</v>
      </c>
    </row>
    <row r="3" spans="1:38" x14ac:dyDescent="0.25">
      <c r="A3">
        <v>12020367</v>
      </c>
      <c r="B3" t="s">
        <v>52</v>
      </c>
      <c r="C3" s="3">
        <v>40499</v>
      </c>
      <c r="D3" t="s">
        <v>39</v>
      </c>
      <c r="E3" t="s">
        <v>53</v>
      </c>
      <c r="F3" s="4" t="str">
        <f>HYPERLINK("https://ssb.ee/12020367-ID/otsustajad-kasusaajad","link")</f>
        <v>link</v>
      </c>
      <c r="G3" t="s">
        <v>54</v>
      </c>
      <c r="H3" t="s">
        <v>55</v>
      </c>
      <c r="I3" s="4" t="str">
        <f>HYPERLINK("https://hurtigrutenestonia.ee/ ","link")</f>
        <v>link</v>
      </c>
      <c r="J3" t="s">
        <v>56</v>
      </c>
      <c r="K3" t="s">
        <v>57</v>
      </c>
      <c r="L3" t="s">
        <v>58</v>
      </c>
      <c r="M3" s="4" t="str">
        <f>HYPERLINK("https://ssb.ee/12020367-ID/meedia-arvamuslood","link")</f>
        <v>link</v>
      </c>
      <c r="N3" t="s">
        <v>59</v>
      </c>
      <c r="O3" s="5">
        <v>40519</v>
      </c>
      <c r="P3" t="s">
        <v>47</v>
      </c>
      <c r="Q3" s="6">
        <v>100000</v>
      </c>
      <c r="R3">
        <v>2021</v>
      </c>
      <c r="S3" s="7" t="s">
        <v>47</v>
      </c>
      <c r="T3" s="7" t="s">
        <v>47</v>
      </c>
      <c r="U3" s="7" t="s">
        <v>47</v>
      </c>
      <c r="V3">
        <v>0.01</v>
      </c>
      <c r="W3" s="8" t="s">
        <v>48</v>
      </c>
      <c r="X3" t="s">
        <v>49</v>
      </c>
      <c r="Y3" s="4" t="str">
        <f>HYPERLINK("https://ssb.ee/12020367-ID/kohustused-volad-kohtulahendid","link")</f>
        <v>link</v>
      </c>
      <c r="Z3">
        <v>19260</v>
      </c>
      <c r="AA3" s="4" t="str">
        <f>HYPERLINK("https://ssb.ee/12020367-ID/finantsid-varad-prognoosid","link")</f>
        <v>link</v>
      </c>
      <c r="AB3" s="6">
        <v>799094</v>
      </c>
      <c r="AC3" s="6">
        <v>847433</v>
      </c>
      <c r="AD3" s="6">
        <v>4980917</v>
      </c>
      <c r="AE3">
        <v>254</v>
      </c>
      <c r="AF3" s="6">
        <v>13246547</v>
      </c>
      <c r="AG3" s="6">
        <v>1995</v>
      </c>
      <c r="AH3" s="4" t="str">
        <f>HYPERLINK("https://ssb.ee/12020367-ID/tootajad-palgad","link")</f>
        <v>link</v>
      </c>
      <c r="AI3" t="s">
        <v>60</v>
      </c>
      <c r="AJ3">
        <v>0.01</v>
      </c>
      <c r="AK3" s="8" t="s">
        <v>48</v>
      </c>
      <c r="AL3" s="4" t="str">
        <f>HYPERLINK("https://ssb.ee/juhatuse-liikme-cv?id=1492727","link")</f>
        <v>link</v>
      </c>
    </row>
    <row r="4" spans="1:38" x14ac:dyDescent="0.25">
      <c r="A4">
        <v>75006546</v>
      </c>
      <c r="B4" t="s">
        <v>68</v>
      </c>
      <c r="C4" s="3">
        <v>32848</v>
      </c>
      <c r="D4" t="s">
        <v>39</v>
      </c>
      <c r="E4" t="s">
        <v>69</v>
      </c>
      <c r="F4" s="4" t="str">
        <f>HYPERLINK("https://ssb.ee/75006546-ID/otsustajad-kasusaajad","link")</f>
        <v>link</v>
      </c>
      <c r="G4" t="s">
        <v>70</v>
      </c>
      <c r="H4" t="s">
        <v>71</v>
      </c>
      <c r="I4" s="4" t="str">
        <f>HYPERLINK("https://tartusport.ee/ ","link")</f>
        <v>link</v>
      </c>
      <c r="J4" t="s">
        <v>72</v>
      </c>
      <c r="K4" t="s">
        <v>73</v>
      </c>
      <c r="L4" t="s">
        <v>74</v>
      </c>
      <c r="M4" s="4" t="str">
        <f>HYPERLINK("https://ssb.ee/75006546-ID/meedia-arvamuslood","link")</f>
        <v>link</v>
      </c>
      <c r="N4" t="s">
        <v>75</v>
      </c>
      <c r="O4" s="5">
        <v>36923</v>
      </c>
      <c r="P4" t="s">
        <v>47</v>
      </c>
      <c r="Q4" s="6">
        <v>100000</v>
      </c>
      <c r="R4" t="s">
        <v>47</v>
      </c>
      <c r="S4" s="7" t="s">
        <v>47</v>
      </c>
      <c r="T4" s="7" t="s">
        <v>47</v>
      </c>
      <c r="U4" s="7" t="s">
        <v>47</v>
      </c>
      <c r="V4">
        <v>0.01</v>
      </c>
      <c r="W4" s="8" t="s">
        <v>48</v>
      </c>
      <c r="X4" t="s">
        <v>49</v>
      </c>
      <c r="Y4" s="4" t="str">
        <f>HYPERLINK("https://ssb.ee/75006546-ID/kohustused-volad-kohtulahendid","link")</f>
        <v>link</v>
      </c>
      <c r="Z4">
        <v>22940</v>
      </c>
      <c r="AA4" s="4" t="str">
        <f>HYPERLINK("https://ssb.ee/75006546-ID/finantsid-varad-prognoosid","link")</f>
        <v>link</v>
      </c>
      <c r="AB4" s="6">
        <v>8403332</v>
      </c>
      <c r="AC4" s="6">
        <v>8916922</v>
      </c>
      <c r="AD4" s="6">
        <v>380379</v>
      </c>
      <c r="AE4">
        <v>359</v>
      </c>
      <c r="AF4" s="6">
        <v>1538000</v>
      </c>
      <c r="AG4" s="6">
        <v>14610</v>
      </c>
      <c r="AH4" s="4" t="str">
        <f>HYPERLINK("https://ssb.ee/75006546-ID/tootajad-palgad","link")</f>
        <v>link</v>
      </c>
      <c r="AI4" t="s">
        <v>76</v>
      </c>
      <c r="AJ4">
        <v>0.01</v>
      </c>
      <c r="AK4" s="8" t="s">
        <v>48</v>
      </c>
      <c r="AL4" s="4" t="str">
        <f>HYPERLINK("https://ssb.ee/juhatuse-liikme-cv?id=465754","link")</f>
        <v>link</v>
      </c>
    </row>
    <row r="5" spans="1:38" x14ac:dyDescent="0.25">
      <c r="A5">
        <v>10208011</v>
      </c>
      <c r="B5" t="s">
        <v>77</v>
      </c>
      <c r="C5" s="3">
        <v>35559</v>
      </c>
      <c r="D5" t="s">
        <v>39</v>
      </c>
      <c r="E5" t="s">
        <v>78</v>
      </c>
      <c r="F5" s="4" t="str">
        <f>HYPERLINK("https://ssb.ee/10208011-ID/otsustajad-kasusaajad","link")</f>
        <v>link</v>
      </c>
      <c r="G5" t="s">
        <v>79</v>
      </c>
      <c r="H5" t="s">
        <v>80</v>
      </c>
      <c r="I5" s="4" t="str">
        <f>HYPERLINK("https://sivex.ee/","link")</f>
        <v>link</v>
      </c>
      <c r="J5" t="s">
        <v>81</v>
      </c>
      <c r="K5" t="s">
        <v>82</v>
      </c>
      <c r="L5" t="s">
        <v>83</v>
      </c>
      <c r="M5" s="4" t="str">
        <f>HYPERLINK("https://ssb.ee/10208011-ID/meedia-arvamuslood","link")</f>
        <v>link</v>
      </c>
      <c r="N5" t="s">
        <v>84</v>
      </c>
      <c r="O5" s="5">
        <v>34516</v>
      </c>
      <c r="P5" t="s">
        <v>47</v>
      </c>
      <c r="Q5" s="6">
        <v>8100</v>
      </c>
      <c r="R5">
        <v>2021</v>
      </c>
      <c r="S5" s="7" t="s">
        <v>47</v>
      </c>
      <c r="T5" s="7" t="s">
        <v>47</v>
      </c>
      <c r="U5" s="7" t="s">
        <v>47</v>
      </c>
      <c r="V5">
        <v>0.01</v>
      </c>
      <c r="W5" s="8" t="s">
        <v>48</v>
      </c>
      <c r="X5" t="s">
        <v>49</v>
      </c>
      <c r="Y5" s="4" t="str">
        <f>HYPERLINK("https://ssb.ee/10208011-ID/kohustused-volad-kohtulahendid","link")</f>
        <v>link</v>
      </c>
      <c r="Z5">
        <v>4370</v>
      </c>
      <c r="AA5" s="4" t="str">
        <f>HYPERLINK("https://ssb.ee/10208011-ID/finantsid-varad-prognoosid","link")</f>
        <v>link</v>
      </c>
      <c r="AB5" s="6">
        <v>88252</v>
      </c>
      <c r="AC5" s="6">
        <v>5786</v>
      </c>
      <c r="AD5" s="6">
        <v>28140</v>
      </c>
      <c r="AE5">
        <v>3</v>
      </c>
      <c r="AF5" s="6">
        <v>137758</v>
      </c>
      <c r="AG5" s="6">
        <v>1315</v>
      </c>
      <c r="AH5" s="4" t="str">
        <f>HYPERLINK("https://ssb.ee/10208011-ID/tootajad-palgad","link")</f>
        <v>link</v>
      </c>
      <c r="AI5" t="s">
        <v>85</v>
      </c>
      <c r="AJ5">
        <v>0.128</v>
      </c>
      <c r="AK5" s="8" t="s">
        <v>48</v>
      </c>
      <c r="AL5" s="4" t="str">
        <f>HYPERLINK("https://ssb.ee/juhatuse-liikme-cv?id=287328","link")</f>
        <v>link</v>
      </c>
    </row>
    <row r="6" spans="1:38" x14ac:dyDescent="0.25">
      <c r="A6">
        <v>11217056</v>
      </c>
      <c r="B6" t="s">
        <v>86</v>
      </c>
      <c r="C6" s="3">
        <v>38784</v>
      </c>
      <c r="D6" t="s">
        <v>39</v>
      </c>
      <c r="E6" t="s">
        <v>87</v>
      </c>
      <c r="F6" s="4" t="str">
        <f>HYPERLINK("https://ssb.ee/11217056-ID/otsustajad-kasusaajad","link")</f>
        <v>link</v>
      </c>
      <c r="G6" t="s">
        <v>88</v>
      </c>
      <c r="H6" t="s">
        <v>89</v>
      </c>
      <c r="I6" s="4" t="str">
        <f>HYPERLINK("https://betoonisepad.com/ ","link")</f>
        <v>link</v>
      </c>
      <c r="J6" t="s">
        <v>90</v>
      </c>
      <c r="K6" t="s">
        <v>91</v>
      </c>
      <c r="L6" t="s">
        <v>92</v>
      </c>
      <c r="M6" s="4" t="str">
        <f>HYPERLINK("https://ssb.ee/11217056-ID/meedia-arvamuslood","link")</f>
        <v>link</v>
      </c>
      <c r="N6" t="s">
        <v>93</v>
      </c>
      <c r="O6" s="5">
        <v>38852</v>
      </c>
      <c r="P6" t="s">
        <v>47</v>
      </c>
      <c r="Q6" s="6">
        <v>10700</v>
      </c>
      <c r="R6">
        <v>2021</v>
      </c>
      <c r="S6" s="7" t="s">
        <v>47</v>
      </c>
      <c r="T6" s="7" t="s">
        <v>47</v>
      </c>
      <c r="U6" s="7" t="s">
        <v>47</v>
      </c>
      <c r="V6">
        <v>0.01</v>
      </c>
      <c r="W6" s="8" t="s">
        <v>48</v>
      </c>
      <c r="X6" t="s">
        <v>49</v>
      </c>
      <c r="Y6" s="4" t="str">
        <f>HYPERLINK("https://ssb.ee/11217056-ID/kohustused-volad-kohtulahendid","link")</f>
        <v>link</v>
      </c>
      <c r="Z6">
        <v>2750</v>
      </c>
      <c r="AA6" s="4" t="str">
        <f>HYPERLINK("https://ssb.ee/11217056-ID/finantsid-varad-prognoosid","link")</f>
        <v>link</v>
      </c>
      <c r="AB6" s="6">
        <v>6170</v>
      </c>
      <c r="AC6" s="6">
        <v>2731</v>
      </c>
      <c r="AD6" s="6">
        <v>151824</v>
      </c>
      <c r="AE6">
        <v>5</v>
      </c>
      <c r="AF6" s="6">
        <v>415434</v>
      </c>
      <c r="AG6" s="6">
        <v>520</v>
      </c>
      <c r="AH6" s="4" t="str">
        <f>HYPERLINK("https://ssb.ee/11217056-ID/tootajad-palgad","link")</f>
        <v>link</v>
      </c>
      <c r="AI6" t="s">
        <v>94</v>
      </c>
      <c r="AJ6">
        <v>0.21299999999999999</v>
      </c>
      <c r="AK6" s="9" t="s">
        <v>51</v>
      </c>
      <c r="AL6" s="4" t="str">
        <f>HYPERLINK("https://ssb.ee/juhatuse-liikme-cv?id=317733","link")</f>
        <v>link</v>
      </c>
    </row>
    <row r="7" spans="1:38" x14ac:dyDescent="0.25">
      <c r="A7">
        <v>16050046</v>
      </c>
      <c r="B7" t="s">
        <v>95</v>
      </c>
      <c r="C7" s="3">
        <v>44085</v>
      </c>
      <c r="D7" t="s">
        <v>39</v>
      </c>
      <c r="E7" t="s">
        <v>96</v>
      </c>
      <c r="F7" s="4" t="str">
        <f>HYPERLINK("https://ssb.ee/16050046-ID/otsustajad-kasusaajad","link")</f>
        <v>link</v>
      </c>
      <c r="G7" t="s">
        <v>97</v>
      </c>
      <c r="H7" t="s">
        <v>98</v>
      </c>
      <c r="I7" s="4" t="str">
        <f>HYPERLINK("https://sangarkv.ee/","link")</f>
        <v>link</v>
      </c>
      <c r="J7" t="s">
        <v>61</v>
      </c>
      <c r="K7" t="s">
        <v>99</v>
      </c>
      <c r="L7" t="s">
        <v>100</v>
      </c>
      <c r="M7" s="4" t="str">
        <f>HYPERLINK("https://ssb.ee/16050046-ID/meedia-arvamuslood","link")</f>
        <v>link</v>
      </c>
      <c r="N7" t="s">
        <v>101</v>
      </c>
      <c r="O7" s="5">
        <v>44095</v>
      </c>
      <c r="P7" t="s">
        <v>47</v>
      </c>
      <c r="Q7" s="6">
        <v>11400</v>
      </c>
      <c r="R7">
        <v>2021</v>
      </c>
      <c r="S7" s="7" t="s">
        <v>47</v>
      </c>
      <c r="T7" s="7" t="s">
        <v>47</v>
      </c>
      <c r="U7" s="7" t="s">
        <v>47</v>
      </c>
      <c r="V7">
        <v>0.01</v>
      </c>
      <c r="W7" s="8" t="s">
        <v>48</v>
      </c>
      <c r="X7" t="s">
        <v>49</v>
      </c>
      <c r="Y7" s="4" t="str">
        <f>HYPERLINK("https://ssb.ee/16050046-ID/kohustused-volad-kohtulahendid","link")</f>
        <v>link</v>
      </c>
      <c r="Z7">
        <v>4150</v>
      </c>
      <c r="AA7" s="4" t="str">
        <f>HYPERLINK("https://ssb.ee/16050046-ID/finantsid-varad-prognoosid","link")</f>
        <v>link</v>
      </c>
      <c r="AB7" s="6">
        <v>23721</v>
      </c>
      <c r="AC7" s="6">
        <v>11573</v>
      </c>
      <c r="AD7" s="6">
        <v>136161</v>
      </c>
      <c r="AE7">
        <v>8</v>
      </c>
      <c r="AF7" s="6">
        <v>742443</v>
      </c>
      <c r="AG7" s="6">
        <v>1040</v>
      </c>
      <c r="AH7" s="4" t="str">
        <f>HYPERLINK("https://ssb.ee/16050046-ID/tootajad-palgad","link")</f>
        <v>link</v>
      </c>
      <c r="AI7" t="s">
        <v>102</v>
      </c>
      <c r="AJ7">
        <v>0.67</v>
      </c>
      <c r="AK7" s="10" t="s">
        <v>103</v>
      </c>
      <c r="AL7" s="4" t="str">
        <f>HYPERLINK("https://ssb.ee/juhatuse-liikme-cv?id=285184","link")</f>
        <v>link</v>
      </c>
    </row>
    <row r="8" spans="1:38" x14ac:dyDescent="0.25">
      <c r="A8">
        <v>10033087</v>
      </c>
      <c r="B8" t="s">
        <v>104</v>
      </c>
      <c r="C8" s="3">
        <v>34335</v>
      </c>
      <c r="D8" t="s">
        <v>39</v>
      </c>
      <c r="E8" t="s">
        <v>105</v>
      </c>
      <c r="F8" s="4" t="str">
        <f>HYPERLINK("https://ssb.ee/10033087-ID/otsustajad-kasusaajad","link")</f>
        <v>link</v>
      </c>
      <c r="G8" t="s">
        <v>106</v>
      </c>
      <c r="H8" t="s">
        <v>107</v>
      </c>
      <c r="I8" s="4" t="str">
        <f>HYPERLINK("https://www.mivar-viva.ee/","link")</f>
        <v>link</v>
      </c>
      <c r="J8" t="s">
        <v>43</v>
      </c>
      <c r="K8" t="s">
        <v>108</v>
      </c>
      <c r="L8" t="s">
        <v>109</v>
      </c>
      <c r="M8" s="4" t="str">
        <f>HYPERLINK("https://ssb.ee/10033087-ID/meedia-arvamuslood","link")</f>
        <v>link</v>
      </c>
      <c r="N8" t="s">
        <v>110</v>
      </c>
      <c r="O8" s="5">
        <v>34335</v>
      </c>
      <c r="P8" t="s">
        <v>47</v>
      </c>
      <c r="Q8" s="6">
        <v>100000</v>
      </c>
      <c r="R8">
        <v>2021</v>
      </c>
      <c r="S8" s="7" t="s">
        <v>47</v>
      </c>
      <c r="T8" s="7" t="s">
        <v>47</v>
      </c>
      <c r="U8" s="7" t="s">
        <v>47</v>
      </c>
      <c r="V8">
        <v>0.01</v>
      </c>
      <c r="W8" s="8" t="s">
        <v>48</v>
      </c>
      <c r="X8" t="s">
        <v>49</v>
      </c>
      <c r="Y8" s="4" t="str">
        <f>HYPERLINK("https://ssb.ee/10033087-ID/kohustused-volad-kohtulahendid","link")</f>
        <v>link</v>
      </c>
      <c r="Z8">
        <v>16700</v>
      </c>
      <c r="AA8" s="4" t="str">
        <f>HYPERLINK("https://ssb.ee/10033087-ID/finantsid-varad-prognoosid","link")</f>
        <v>link</v>
      </c>
      <c r="AB8" s="6">
        <v>233755</v>
      </c>
      <c r="AC8" s="6">
        <v>197144</v>
      </c>
      <c r="AD8" s="6">
        <v>3843661</v>
      </c>
      <c r="AE8">
        <v>157</v>
      </c>
      <c r="AF8" s="6">
        <v>12024159</v>
      </c>
      <c r="AG8" s="6">
        <v>975</v>
      </c>
      <c r="AH8" s="4" t="str">
        <f>HYPERLINK("https://ssb.ee/10033087-ID/tootajad-palgad","link")</f>
        <v>link</v>
      </c>
      <c r="AI8" t="s">
        <v>111</v>
      </c>
      <c r="AJ8">
        <v>0.255</v>
      </c>
      <c r="AK8" s="9" t="s">
        <v>51</v>
      </c>
      <c r="AL8" s="4" t="str">
        <f>HYPERLINK("https://ssb.ee/juhatuse-liikme-cv?id=369000","link")</f>
        <v>link</v>
      </c>
    </row>
    <row r="9" spans="1:38" x14ac:dyDescent="0.25">
      <c r="A9">
        <v>10040437</v>
      </c>
      <c r="B9" t="s">
        <v>118</v>
      </c>
      <c r="C9" s="3">
        <v>35219</v>
      </c>
      <c r="D9" t="s">
        <v>39</v>
      </c>
      <c r="E9" t="s">
        <v>119</v>
      </c>
      <c r="F9" s="4" t="str">
        <f>HYPERLINK("https://ssb.ee/10040437-ID/otsustajad-kasusaajad","link")</f>
        <v>link</v>
      </c>
      <c r="G9" t="s">
        <v>120</v>
      </c>
      <c r="H9" t="s">
        <v>121</v>
      </c>
      <c r="I9" s="4" t="str">
        <f>HYPERLINK("https://eskaro.com/","link")</f>
        <v>link</v>
      </c>
      <c r="J9" t="s">
        <v>43</v>
      </c>
      <c r="K9" t="s">
        <v>122</v>
      </c>
      <c r="L9" t="s">
        <v>123</v>
      </c>
      <c r="M9" s="4" t="str">
        <f>HYPERLINK("https://ssb.ee/10040437-ID/meedia-arvamuslood","link")</f>
        <v>link</v>
      </c>
      <c r="N9" t="s">
        <v>124</v>
      </c>
      <c r="O9" s="5">
        <v>34366</v>
      </c>
      <c r="P9" t="s">
        <v>47</v>
      </c>
      <c r="Q9" s="6">
        <v>100000</v>
      </c>
      <c r="R9">
        <v>2021</v>
      </c>
      <c r="S9" s="7" t="s">
        <v>47</v>
      </c>
      <c r="T9" s="7" t="s">
        <v>47</v>
      </c>
      <c r="U9" s="7" t="s">
        <v>47</v>
      </c>
      <c r="V9">
        <v>0.01</v>
      </c>
      <c r="W9" s="8" t="s">
        <v>48</v>
      </c>
      <c r="X9" t="s">
        <v>49</v>
      </c>
      <c r="Y9" s="4" t="str">
        <f>HYPERLINK("https://ssb.ee/10040437-ID/kohustused-volad-kohtulahendid","link")</f>
        <v>link</v>
      </c>
      <c r="Z9">
        <v>15560</v>
      </c>
      <c r="AA9" s="4" t="str">
        <f>HYPERLINK("https://ssb.ee/10040437-ID/finantsid-varad-prognoosid","link")</f>
        <v>link</v>
      </c>
      <c r="AB9" s="6">
        <v>375195</v>
      </c>
      <c r="AC9" s="6">
        <v>190090</v>
      </c>
      <c r="AD9" s="6">
        <v>5225595</v>
      </c>
      <c r="AE9">
        <v>67</v>
      </c>
      <c r="AF9" s="6">
        <v>9917862</v>
      </c>
      <c r="AG9" s="6">
        <v>1770</v>
      </c>
      <c r="AH9" s="4" t="str">
        <f>HYPERLINK("https://ssb.ee/10040437-ID/tootajad-palgad","link")</f>
        <v>link</v>
      </c>
      <c r="AI9" t="s">
        <v>125</v>
      </c>
      <c r="AJ9">
        <v>0.01</v>
      </c>
      <c r="AK9" s="8" t="s">
        <v>48</v>
      </c>
      <c r="AL9" s="4" t="str">
        <f>HYPERLINK("https://ssb.ee/juhatuse-liikme-cv?id=693219","link")</f>
        <v>link</v>
      </c>
    </row>
    <row r="10" spans="1:38" x14ac:dyDescent="0.25">
      <c r="A10">
        <v>16215814</v>
      </c>
      <c r="B10" t="s">
        <v>126</v>
      </c>
      <c r="C10" s="3">
        <v>44313</v>
      </c>
      <c r="D10" t="s">
        <v>39</v>
      </c>
      <c r="E10" t="s">
        <v>127</v>
      </c>
      <c r="F10" s="4" t="str">
        <f>HYPERLINK("https://ssb.ee/16215814-ID/otsustajad-kasusaajad","link")</f>
        <v>link</v>
      </c>
      <c r="G10" t="s">
        <v>128</v>
      </c>
      <c r="H10" t="s">
        <v>129</v>
      </c>
      <c r="I10" s="4" t="str">
        <f>HYPERLINK("https://www.checkout.com/","link")</f>
        <v>link</v>
      </c>
      <c r="J10" t="s">
        <v>112</v>
      </c>
      <c r="K10" t="s">
        <v>113</v>
      </c>
      <c r="L10" t="s">
        <v>114</v>
      </c>
      <c r="M10" s="4" t="str">
        <f>HYPERLINK("https://ssb.ee/16215814-ID/meedia-arvamuslood","link")</f>
        <v>link</v>
      </c>
      <c r="N10" t="s">
        <v>47</v>
      </c>
      <c r="O10" t="s">
        <v>47</v>
      </c>
      <c r="P10" t="s">
        <v>47</v>
      </c>
      <c r="Q10" s="6">
        <v>80000</v>
      </c>
      <c r="R10" t="s">
        <v>47</v>
      </c>
      <c r="S10" s="7" t="s">
        <v>47</v>
      </c>
      <c r="T10" s="7" t="s">
        <v>47</v>
      </c>
      <c r="U10" s="7" t="s">
        <v>47</v>
      </c>
      <c r="V10">
        <v>0.23100000000000001</v>
      </c>
      <c r="W10" s="9" t="s">
        <v>51</v>
      </c>
      <c r="X10" t="s">
        <v>130</v>
      </c>
      <c r="Y10" s="4" t="str">
        <f>HYPERLINK("https://ssb.ee/16215814-ID/kohustused-volad-kohtulahendid","link")</f>
        <v>link</v>
      </c>
      <c r="Z10">
        <v>5020</v>
      </c>
      <c r="AA10" s="4" t="str">
        <f>HYPERLINK("https://ssb.ee/16215814-ID/finantsid-varad-prognoosid","link")</f>
        <v>link</v>
      </c>
      <c r="AB10" s="6">
        <v>856736</v>
      </c>
      <c r="AC10" s="6">
        <v>908383</v>
      </c>
      <c r="AD10" s="6" t="s">
        <v>47</v>
      </c>
      <c r="AE10">
        <v>99</v>
      </c>
      <c r="AF10" s="6" t="s">
        <v>47</v>
      </c>
      <c r="AG10" s="6">
        <v>5450</v>
      </c>
      <c r="AH10" s="4" t="str">
        <f>HYPERLINK("https://ssb.ee/16215814-ID/tootajad-palgad","link")</f>
        <v>link</v>
      </c>
      <c r="AI10" t="s">
        <v>47</v>
      </c>
      <c r="AJ10" t="s">
        <v>47</v>
      </c>
      <c r="AK10" t="s">
        <v>47</v>
      </c>
      <c r="AL10" s="4" t="str">
        <f>HYPERLINK("","link")</f>
        <v>link</v>
      </c>
    </row>
    <row r="11" spans="1:38" x14ac:dyDescent="0.25">
      <c r="A11">
        <v>10833824</v>
      </c>
      <c r="B11" t="s">
        <v>131</v>
      </c>
      <c r="C11" s="3">
        <v>37258</v>
      </c>
      <c r="D11" t="s">
        <v>39</v>
      </c>
      <c r="E11" t="s">
        <v>132</v>
      </c>
      <c r="F11" s="4" t="str">
        <f>HYPERLINK("https://ssb.ee/10833824-ID/otsustajad-kasusaajad","link")</f>
        <v>link</v>
      </c>
      <c r="G11" t="s">
        <v>133</v>
      </c>
      <c r="H11" t="s">
        <v>134</v>
      </c>
      <c r="I11" s="4" t="str">
        <f>HYPERLINK("http://elamuhaldus.ee","link")</f>
        <v>link</v>
      </c>
      <c r="J11" t="s">
        <v>56</v>
      </c>
      <c r="K11" t="s">
        <v>135</v>
      </c>
      <c r="L11" t="s">
        <v>136</v>
      </c>
      <c r="M11" s="4" t="str">
        <f>HYPERLINK("https://ssb.ee/10833824-ID/meedia-arvamuslood","link")</f>
        <v>link</v>
      </c>
      <c r="N11" t="s">
        <v>137</v>
      </c>
      <c r="O11" s="5">
        <v>39814</v>
      </c>
      <c r="P11" t="s">
        <v>47</v>
      </c>
      <c r="Q11" s="6">
        <v>17300</v>
      </c>
      <c r="R11">
        <v>2021</v>
      </c>
      <c r="S11" s="7" t="s">
        <v>47</v>
      </c>
      <c r="T11" s="7" t="s">
        <v>47</v>
      </c>
      <c r="U11" s="7" t="s">
        <v>47</v>
      </c>
      <c r="V11">
        <v>0.01</v>
      </c>
      <c r="W11" s="8" t="s">
        <v>48</v>
      </c>
      <c r="X11" t="s">
        <v>49</v>
      </c>
      <c r="Y11" s="4" t="str">
        <f>HYPERLINK("https://ssb.ee/10833824-ID/kohustused-volad-kohtulahendid","link")</f>
        <v>link</v>
      </c>
      <c r="Z11">
        <v>3040</v>
      </c>
      <c r="AA11" s="4" t="str">
        <f>HYPERLINK("https://ssb.ee/10833824-ID/finantsid-varad-prognoosid","link")</f>
        <v>link</v>
      </c>
      <c r="AB11" s="6">
        <v>63065</v>
      </c>
      <c r="AC11" s="6">
        <v>40099</v>
      </c>
      <c r="AD11" s="6">
        <v>156738</v>
      </c>
      <c r="AE11">
        <v>33</v>
      </c>
      <c r="AF11" s="6">
        <v>660640</v>
      </c>
      <c r="AG11" s="6">
        <v>910</v>
      </c>
      <c r="AH11" s="4" t="str">
        <f>HYPERLINK("https://ssb.ee/10833824-ID/tootajad-palgad","link")</f>
        <v>link</v>
      </c>
      <c r="AI11" t="s">
        <v>138</v>
      </c>
      <c r="AJ11">
        <v>7.0999999999999994E-2</v>
      </c>
      <c r="AK11" s="8" t="s">
        <v>48</v>
      </c>
      <c r="AL11" s="4" t="str">
        <f>HYPERLINK("https://ssb.ee/juhatuse-liikme-cv?id=293686","link")</f>
        <v>link</v>
      </c>
    </row>
    <row r="12" spans="1:38" x14ac:dyDescent="0.25">
      <c r="A12">
        <v>75019264</v>
      </c>
      <c r="B12" t="s">
        <v>139</v>
      </c>
      <c r="C12" s="3">
        <v>34082</v>
      </c>
      <c r="D12" t="s">
        <v>39</v>
      </c>
      <c r="E12" t="s">
        <v>140</v>
      </c>
      <c r="F12" s="4" t="str">
        <f>HYPERLINK("https://ssb.ee/75019264-ID/otsustajad-kasusaajad","link")</f>
        <v>link</v>
      </c>
      <c r="G12" t="s">
        <v>141</v>
      </c>
      <c r="H12" t="s">
        <v>142</v>
      </c>
      <c r="I12" s="4" t="str">
        <f>HYPERLINK("http://iruhk.ee","link")</f>
        <v>link</v>
      </c>
      <c r="J12" t="s">
        <v>143</v>
      </c>
      <c r="K12" t="s">
        <v>144</v>
      </c>
      <c r="L12" t="s">
        <v>145</v>
      </c>
      <c r="M12" s="4" t="str">
        <f>HYPERLINK("https://ssb.ee/75019264-ID/meedia-arvamuslood","link")</f>
        <v>link</v>
      </c>
      <c r="N12" t="s">
        <v>146</v>
      </c>
      <c r="O12" s="5">
        <v>44378</v>
      </c>
      <c r="P12" t="s">
        <v>47</v>
      </c>
      <c r="Q12" s="6">
        <v>42200</v>
      </c>
      <c r="R12" t="s">
        <v>47</v>
      </c>
      <c r="S12" s="7" t="s">
        <v>47</v>
      </c>
      <c r="T12" s="7" t="s">
        <v>47</v>
      </c>
      <c r="U12" s="7" t="s">
        <v>47</v>
      </c>
      <c r="V12">
        <v>0.01</v>
      </c>
      <c r="W12" s="8" t="s">
        <v>48</v>
      </c>
      <c r="X12" t="s">
        <v>49</v>
      </c>
      <c r="Y12" s="4" t="str">
        <f>HYPERLINK("https://ssb.ee/75019264-ID/kohustused-volad-kohtulahendid","link")</f>
        <v>link</v>
      </c>
      <c r="Z12">
        <v>10130</v>
      </c>
      <c r="AA12" s="4" t="str">
        <f>HYPERLINK("https://ssb.ee/75019264-ID/finantsid-varad-prognoosid","link")</f>
        <v>link</v>
      </c>
      <c r="AB12" s="6">
        <v>308372</v>
      </c>
      <c r="AC12" s="6">
        <v>325196</v>
      </c>
      <c r="AD12" s="6" t="s">
        <v>47</v>
      </c>
      <c r="AE12">
        <v>189</v>
      </c>
      <c r="AF12" s="6" t="s">
        <v>47</v>
      </c>
      <c r="AG12" s="6">
        <v>1240</v>
      </c>
      <c r="AH12" s="4" t="str">
        <f>HYPERLINK("https://ssb.ee/75019264-ID/tootajad-palgad","link")</f>
        <v>link</v>
      </c>
      <c r="AI12" t="s">
        <v>147</v>
      </c>
      <c r="AJ12">
        <v>3.0000000000000001E-3</v>
      </c>
      <c r="AK12" s="8" t="s">
        <v>48</v>
      </c>
      <c r="AL12" s="4" t="str">
        <f>HYPERLINK("https://ssb.ee/juhatuse-liikme-cv?id=543899","link")</f>
        <v>link</v>
      </c>
    </row>
    <row r="13" spans="1:38" x14ac:dyDescent="0.25">
      <c r="A13">
        <v>10952993</v>
      </c>
      <c r="B13" t="s">
        <v>151</v>
      </c>
      <c r="C13" s="3">
        <v>37777</v>
      </c>
      <c r="D13" t="s">
        <v>39</v>
      </c>
      <c r="E13" t="s">
        <v>152</v>
      </c>
      <c r="F13" s="4" t="str">
        <f>HYPERLINK("https://ssb.ee/10952993-ID/otsustajad-kasusaajad","link")</f>
        <v>link</v>
      </c>
      <c r="G13" t="s">
        <v>153</v>
      </c>
      <c r="H13" t="s">
        <v>154</v>
      </c>
      <c r="I13" s="4" t="str">
        <f>HYPERLINK("http://lapavira.ee","link")</f>
        <v>link</v>
      </c>
      <c r="J13" t="s">
        <v>155</v>
      </c>
      <c r="K13" t="s">
        <v>156</v>
      </c>
      <c r="L13" t="s">
        <v>157</v>
      </c>
      <c r="M13" s="4" t="str">
        <f>HYPERLINK("https://ssb.ee/10952993-ID/meedia-arvamuslood","link")</f>
        <v>link</v>
      </c>
      <c r="N13" t="s">
        <v>158</v>
      </c>
      <c r="O13" s="5">
        <v>38040</v>
      </c>
      <c r="P13" t="s">
        <v>47</v>
      </c>
      <c r="Q13" s="6">
        <v>18300</v>
      </c>
      <c r="R13">
        <v>2020</v>
      </c>
      <c r="S13" s="7" t="s">
        <v>47</v>
      </c>
      <c r="T13" s="7" t="s">
        <v>47</v>
      </c>
      <c r="U13" s="7" t="s">
        <v>47</v>
      </c>
      <c r="V13">
        <v>0.01</v>
      </c>
      <c r="W13" s="8" t="s">
        <v>48</v>
      </c>
      <c r="X13" t="s">
        <v>49</v>
      </c>
      <c r="Y13" s="4" t="str">
        <f>HYPERLINK("https://ssb.ee/10952993-ID/kohustused-volad-kohtulahendid","link")</f>
        <v>link</v>
      </c>
      <c r="Z13">
        <v>3080</v>
      </c>
      <c r="AA13" s="4" t="str">
        <f>HYPERLINK("https://ssb.ee/10952993-ID/finantsid-varad-prognoosid","link")</f>
        <v>link</v>
      </c>
      <c r="AB13" s="6">
        <v>31572</v>
      </c>
      <c r="AC13" s="6">
        <v>2110</v>
      </c>
      <c r="AD13" s="6">
        <v>240178</v>
      </c>
      <c r="AE13">
        <v>6</v>
      </c>
      <c r="AF13" s="6">
        <v>510475</v>
      </c>
      <c r="AG13" s="6">
        <v>365</v>
      </c>
      <c r="AH13" s="4" t="str">
        <f>HYPERLINK("https://ssb.ee/10952993-ID/tootajad-palgad","link")</f>
        <v>link</v>
      </c>
      <c r="AI13" t="s">
        <v>159</v>
      </c>
      <c r="AJ13">
        <v>5.7000000000000002E-2</v>
      </c>
      <c r="AK13" s="8" t="s">
        <v>48</v>
      </c>
      <c r="AL13" s="4" t="str">
        <f>HYPERLINK("https://ssb.ee/juhatuse-liikme-cv?id=301834","link")</f>
        <v>link</v>
      </c>
    </row>
    <row r="14" spans="1:38" x14ac:dyDescent="0.25">
      <c r="A14">
        <v>10700483</v>
      </c>
      <c r="B14" t="s">
        <v>160</v>
      </c>
      <c r="C14" s="3">
        <v>36782</v>
      </c>
      <c r="D14" t="s">
        <v>39</v>
      </c>
      <c r="E14" t="s">
        <v>161</v>
      </c>
      <c r="F14" s="4" t="str">
        <f>HYPERLINK("https://ssb.ee/10700483-ID/otsustajad-kasusaajad","link")</f>
        <v>link</v>
      </c>
      <c r="G14" t="s">
        <v>162</v>
      </c>
      <c r="H14" t="s">
        <v>163</v>
      </c>
      <c r="I14" s="4" t="str">
        <f>HYPERLINK("https://a-tehnoulevaatus.ee/","link")</f>
        <v>link</v>
      </c>
      <c r="J14" t="s">
        <v>43</v>
      </c>
      <c r="K14" t="s">
        <v>164</v>
      </c>
      <c r="L14" t="s">
        <v>165</v>
      </c>
      <c r="M14" s="4" t="str">
        <f>HYPERLINK("https://ssb.ee/10700483-ID/meedia-arvamuslood","link")</f>
        <v>link</v>
      </c>
      <c r="N14" t="s">
        <v>166</v>
      </c>
      <c r="O14" s="5">
        <v>36800</v>
      </c>
      <c r="P14" t="s">
        <v>47</v>
      </c>
      <c r="Q14" s="6">
        <v>4700</v>
      </c>
      <c r="R14">
        <v>2021</v>
      </c>
      <c r="S14" s="7" t="s">
        <v>47</v>
      </c>
      <c r="T14" s="7" t="s">
        <v>47</v>
      </c>
      <c r="U14" s="7" t="s">
        <v>47</v>
      </c>
      <c r="V14">
        <v>0.01</v>
      </c>
      <c r="W14" s="8" t="s">
        <v>48</v>
      </c>
      <c r="X14" t="s">
        <v>49</v>
      </c>
      <c r="Y14" s="4" t="str">
        <f>HYPERLINK("https://ssb.ee/10700483-ID/kohustused-volad-kohtulahendid","link")</f>
        <v>link</v>
      </c>
      <c r="Z14">
        <v>1980</v>
      </c>
      <c r="AA14" s="4" t="str">
        <f>HYPERLINK("https://ssb.ee/10700483-ID/finantsid-varad-prognoosid","link")</f>
        <v>link</v>
      </c>
      <c r="AB14" s="6">
        <v>12007</v>
      </c>
      <c r="AC14" s="6">
        <v>8384</v>
      </c>
      <c r="AD14" s="6">
        <v>50283</v>
      </c>
      <c r="AE14">
        <v>5</v>
      </c>
      <c r="AF14" s="6">
        <v>170247</v>
      </c>
      <c r="AG14" s="6">
        <v>1170</v>
      </c>
      <c r="AH14" s="4" t="str">
        <f>HYPERLINK("https://ssb.ee/10700483-ID/tootajad-palgad","link")</f>
        <v>link</v>
      </c>
      <c r="AI14" t="s">
        <v>167</v>
      </c>
      <c r="AJ14">
        <v>0.01</v>
      </c>
      <c r="AK14" s="8" t="s">
        <v>48</v>
      </c>
      <c r="AL14" s="4" t="str">
        <f>HYPERLINK("https://ssb.ee/juhatuse-liikme-cv?id=291441","link")</f>
        <v>link</v>
      </c>
    </row>
    <row r="15" spans="1:38" x14ac:dyDescent="0.25">
      <c r="A15">
        <v>14688492</v>
      </c>
      <c r="B15" t="s">
        <v>168</v>
      </c>
      <c r="C15" s="3">
        <v>43549</v>
      </c>
      <c r="D15" t="s">
        <v>39</v>
      </c>
      <c r="E15" t="s">
        <v>169</v>
      </c>
      <c r="F15" s="4" t="str">
        <f>HYPERLINK("https://ssb.ee/14688492-ID/otsustajad-kasusaajad","link")</f>
        <v>link</v>
      </c>
      <c r="G15" t="s">
        <v>170</v>
      </c>
      <c r="H15" t="s">
        <v>171</v>
      </c>
      <c r="I15" s="4" t="str">
        <f>HYPERLINK("https://hordeum.ee/","link")</f>
        <v>link</v>
      </c>
      <c r="J15" t="s">
        <v>43</v>
      </c>
      <c r="K15" t="s">
        <v>172</v>
      </c>
      <c r="L15" t="s">
        <v>173</v>
      </c>
      <c r="M15" s="4" t="str">
        <f>HYPERLINK("https://ssb.ee/14688492-ID/meedia-arvamuslood","link")</f>
        <v>link</v>
      </c>
      <c r="N15" t="s">
        <v>174</v>
      </c>
      <c r="O15" s="5">
        <v>43641</v>
      </c>
      <c r="P15" t="s">
        <v>47</v>
      </c>
      <c r="Q15" s="6">
        <v>100000</v>
      </c>
      <c r="R15">
        <v>2021</v>
      </c>
      <c r="S15" s="7" t="s">
        <v>47</v>
      </c>
      <c r="T15" s="7" t="s">
        <v>47</v>
      </c>
      <c r="U15" s="7" t="s">
        <v>47</v>
      </c>
      <c r="V15">
        <v>0.01</v>
      </c>
      <c r="W15" s="8" t="s">
        <v>48</v>
      </c>
      <c r="X15" t="s">
        <v>49</v>
      </c>
      <c r="Y15" s="4" t="str">
        <f>HYPERLINK("https://ssb.ee/14688492-ID/kohustused-volad-kohtulahendid","link")</f>
        <v>link</v>
      </c>
      <c r="Z15">
        <v>5860</v>
      </c>
      <c r="AA15" s="4" t="str">
        <f>HYPERLINK("https://ssb.ee/14688492-ID/finantsid-varad-prognoosid","link")</f>
        <v>link</v>
      </c>
      <c r="AB15" s="6">
        <v>566829</v>
      </c>
      <c r="AC15" s="6">
        <v>15550</v>
      </c>
      <c r="AD15" s="6">
        <v>6262831</v>
      </c>
      <c r="AE15">
        <v>4</v>
      </c>
      <c r="AF15" s="6">
        <v>14670368</v>
      </c>
      <c r="AG15" s="6">
        <v>2335</v>
      </c>
      <c r="AH15" s="4" t="str">
        <f>HYPERLINK("https://ssb.ee/14688492-ID/tootajad-palgad","link")</f>
        <v>link</v>
      </c>
      <c r="AI15" t="s">
        <v>175</v>
      </c>
      <c r="AJ15">
        <v>0.11899999999999999</v>
      </c>
      <c r="AK15" s="8" t="s">
        <v>48</v>
      </c>
      <c r="AL15" s="4" t="str">
        <f>HYPERLINK("https://ssb.ee/juhatuse-liikme-cv?id=277514","link")</f>
        <v>link</v>
      </c>
    </row>
    <row r="16" spans="1:38" x14ac:dyDescent="0.25">
      <c r="A16">
        <v>12560626</v>
      </c>
      <c r="B16" t="s">
        <v>176</v>
      </c>
      <c r="C16" s="3">
        <v>41575</v>
      </c>
      <c r="D16" t="s">
        <v>39</v>
      </c>
      <c r="E16" t="s">
        <v>177</v>
      </c>
      <c r="F16" s="4" t="str">
        <f>HYPERLINK("https://ssb.ee/12560626-ID/otsustajad-kasusaajad","link")</f>
        <v>link</v>
      </c>
      <c r="G16" t="s">
        <v>178</v>
      </c>
      <c r="H16" t="s">
        <v>179</v>
      </c>
      <c r="I16" s="4" t="str">
        <f>HYPERLINK("http://tmbelement.ee","link")</f>
        <v>link</v>
      </c>
      <c r="J16" t="s">
        <v>90</v>
      </c>
      <c r="K16" t="s">
        <v>180</v>
      </c>
      <c r="L16" t="s">
        <v>181</v>
      </c>
      <c r="M16" s="4" t="str">
        <f>HYPERLINK("https://ssb.ee/12560626-ID/meedia-arvamuslood","link")</f>
        <v>link</v>
      </c>
      <c r="N16" t="s">
        <v>182</v>
      </c>
      <c r="O16" s="5">
        <v>41579</v>
      </c>
      <c r="P16" t="s">
        <v>47</v>
      </c>
      <c r="Q16" s="6">
        <v>100000</v>
      </c>
      <c r="R16">
        <v>2021</v>
      </c>
      <c r="S16" s="7" t="s">
        <v>47</v>
      </c>
      <c r="T16" s="7" t="s">
        <v>47</v>
      </c>
      <c r="U16" s="7" t="s">
        <v>47</v>
      </c>
      <c r="V16">
        <v>0.01</v>
      </c>
      <c r="W16" s="8" t="s">
        <v>48</v>
      </c>
      <c r="X16" t="s">
        <v>49</v>
      </c>
      <c r="Y16" s="4" t="str">
        <f>HYPERLINK("https://ssb.ee/12560626-ID/kohustused-volad-kohtulahendid","link")</f>
        <v>link</v>
      </c>
      <c r="Z16">
        <v>18400</v>
      </c>
      <c r="AA16" s="4" t="str">
        <f>HYPERLINK("https://ssb.ee/12560626-ID/finantsid-varad-prognoosid","link")</f>
        <v>link</v>
      </c>
      <c r="AB16" s="6">
        <v>620978</v>
      </c>
      <c r="AC16" s="6">
        <v>586257</v>
      </c>
      <c r="AD16" s="6">
        <v>9278186</v>
      </c>
      <c r="AE16">
        <v>176</v>
      </c>
      <c r="AF16" s="6">
        <v>24429141</v>
      </c>
      <c r="AG16" s="6">
        <v>1995</v>
      </c>
      <c r="AH16" s="4" t="str">
        <f>HYPERLINK("https://ssb.ee/12560626-ID/tootajad-palgad","link")</f>
        <v>link</v>
      </c>
      <c r="AI16" t="s">
        <v>183</v>
      </c>
      <c r="AJ16">
        <v>6.7000000000000004E-2</v>
      </c>
      <c r="AK16" s="8" t="s">
        <v>48</v>
      </c>
      <c r="AL16" s="4" t="str">
        <f>HYPERLINK("https://ssb.ee/juhatuse-liikme-cv?id=409553","link")</f>
        <v>link</v>
      </c>
    </row>
    <row r="17" spans="1:38" x14ac:dyDescent="0.25">
      <c r="A17">
        <v>10390953</v>
      </c>
      <c r="B17" t="s">
        <v>184</v>
      </c>
      <c r="C17" s="3">
        <v>34455</v>
      </c>
      <c r="D17" t="s">
        <v>39</v>
      </c>
      <c r="E17" t="s">
        <v>185</v>
      </c>
      <c r="F17" s="4" t="str">
        <f>HYPERLINK("https://ssb.ee/10390953-ID/otsustajad-kasusaajad","link")</f>
        <v>link</v>
      </c>
      <c r="G17" t="s">
        <v>186</v>
      </c>
      <c r="H17" t="s">
        <v>187</v>
      </c>
      <c r="I17" s="4" t="str">
        <f>HYPERLINK("https://www.hilti.com/ ","link")</f>
        <v>link</v>
      </c>
      <c r="J17" t="s">
        <v>43</v>
      </c>
      <c r="K17" t="s">
        <v>188</v>
      </c>
      <c r="L17" t="s">
        <v>189</v>
      </c>
      <c r="M17" s="4" t="str">
        <f>HYPERLINK("https://ssb.ee/10390953-ID/meedia-arvamuslood","link")</f>
        <v>link</v>
      </c>
      <c r="N17" t="s">
        <v>190</v>
      </c>
      <c r="O17" s="5">
        <v>34455</v>
      </c>
      <c r="P17" t="s">
        <v>47</v>
      </c>
      <c r="Q17" s="6">
        <v>100000</v>
      </c>
      <c r="R17">
        <v>2021</v>
      </c>
      <c r="S17" s="7" t="s">
        <v>47</v>
      </c>
      <c r="T17" s="7" t="s">
        <v>47</v>
      </c>
      <c r="U17" s="7" t="s">
        <v>47</v>
      </c>
      <c r="V17">
        <v>0.01</v>
      </c>
      <c r="W17" s="8" t="s">
        <v>48</v>
      </c>
      <c r="X17" t="s">
        <v>49</v>
      </c>
      <c r="Y17" s="4" t="str">
        <f>HYPERLINK("https://ssb.ee/10390953-ID/kohustused-volad-kohtulahendid","link")</f>
        <v>link</v>
      </c>
      <c r="Z17">
        <v>8490</v>
      </c>
      <c r="AA17" s="4" t="str">
        <f>HYPERLINK("https://ssb.ee/10390953-ID/finantsid-varad-prognoosid","link")</f>
        <v>link</v>
      </c>
      <c r="AB17" s="6">
        <v>484720</v>
      </c>
      <c r="AC17" s="6">
        <v>121776</v>
      </c>
      <c r="AD17" s="6">
        <v>3661591</v>
      </c>
      <c r="AE17">
        <v>32</v>
      </c>
      <c r="AF17" s="6">
        <v>6994428</v>
      </c>
      <c r="AG17" s="6">
        <v>2270</v>
      </c>
      <c r="AH17" s="4" t="str">
        <f>HYPERLINK("https://ssb.ee/10390953-ID/tootajad-palgad","link")</f>
        <v>link</v>
      </c>
      <c r="AI17" t="s">
        <v>191</v>
      </c>
      <c r="AJ17">
        <v>0.20799999999999999</v>
      </c>
      <c r="AK17" s="9" t="s">
        <v>51</v>
      </c>
      <c r="AL17" s="4" t="str">
        <f>HYPERLINK("https://ssb.ee/juhatuse-liikme-cv?id=444184","link")</f>
        <v>link</v>
      </c>
    </row>
    <row r="18" spans="1:38" x14ac:dyDescent="0.25">
      <c r="A18">
        <v>10007925</v>
      </c>
      <c r="B18" t="s">
        <v>192</v>
      </c>
      <c r="C18" s="3">
        <v>35080</v>
      </c>
      <c r="D18" t="s">
        <v>39</v>
      </c>
      <c r="E18" t="s">
        <v>193</v>
      </c>
      <c r="F18" s="4" t="str">
        <f>HYPERLINK("https://ssb.ee/10007925-ID/otsustajad-kasusaajad","link")</f>
        <v>link</v>
      </c>
      <c r="G18" t="s">
        <v>194</v>
      </c>
      <c r="H18" t="s">
        <v>195</v>
      </c>
      <c r="I18" s="4" t="str">
        <f>HYPERLINK("https://www.cista.ee/","link")</f>
        <v>link</v>
      </c>
      <c r="J18" t="s">
        <v>196</v>
      </c>
      <c r="K18" t="s">
        <v>197</v>
      </c>
      <c r="L18" t="s">
        <v>198</v>
      </c>
      <c r="M18" s="4" t="str">
        <f>HYPERLINK("https://ssb.ee/10007925-ID/meedia-arvamuslood","link")</f>
        <v>link</v>
      </c>
      <c r="N18" t="s">
        <v>199</v>
      </c>
      <c r="O18" s="5">
        <v>34335</v>
      </c>
      <c r="P18" t="s">
        <v>47</v>
      </c>
      <c r="Q18" s="6">
        <v>82400</v>
      </c>
      <c r="R18">
        <v>2020</v>
      </c>
      <c r="S18" s="7" t="s">
        <v>47</v>
      </c>
      <c r="T18" s="7" t="s">
        <v>47</v>
      </c>
      <c r="U18" s="7" t="s">
        <v>47</v>
      </c>
      <c r="V18">
        <v>0.01</v>
      </c>
      <c r="W18" s="8" t="s">
        <v>48</v>
      </c>
      <c r="X18" t="s">
        <v>49</v>
      </c>
      <c r="Y18" s="4" t="str">
        <f>HYPERLINK("https://ssb.ee/10007925-ID/kohustused-volad-kohtulahendid","link")</f>
        <v>link</v>
      </c>
      <c r="Z18">
        <v>7650</v>
      </c>
      <c r="AA18" s="4" t="str">
        <f>HYPERLINK("https://ssb.ee/10007925-ID/finantsid-varad-prognoosid","link")</f>
        <v>link</v>
      </c>
      <c r="AB18" s="6">
        <v>176146</v>
      </c>
      <c r="AC18" s="6">
        <v>104222</v>
      </c>
      <c r="AD18" s="6">
        <v>955528</v>
      </c>
      <c r="AE18">
        <v>54</v>
      </c>
      <c r="AF18" s="6">
        <v>3404280</v>
      </c>
      <c r="AG18" s="6">
        <v>1315</v>
      </c>
      <c r="AH18" s="4" t="str">
        <f>HYPERLINK("https://ssb.ee/10007925-ID/tootajad-palgad","link")</f>
        <v>link</v>
      </c>
      <c r="AI18" t="s">
        <v>200</v>
      </c>
      <c r="AJ18">
        <v>0.17199999999999999</v>
      </c>
      <c r="AK18" s="9" t="s">
        <v>51</v>
      </c>
      <c r="AL18" s="4" t="str">
        <f>HYPERLINK("https://ssb.ee/juhatuse-liikme-cv?id=299779","link")</f>
        <v>link</v>
      </c>
    </row>
    <row r="19" spans="1:38" x14ac:dyDescent="0.25">
      <c r="A19">
        <v>12144804</v>
      </c>
      <c r="B19" t="s">
        <v>204</v>
      </c>
      <c r="C19" s="3">
        <v>40765</v>
      </c>
      <c r="D19" t="s">
        <v>39</v>
      </c>
      <c r="E19" t="s">
        <v>205</v>
      </c>
      <c r="F19" s="4" t="str">
        <f>HYPERLINK("https://ssb.ee/12144804-ID/otsustajad-kasusaajad","link")</f>
        <v>link</v>
      </c>
      <c r="G19" t="s">
        <v>206</v>
      </c>
      <c r="H19" t="s">
        <v>207</v>
      </c>
      <c r="I19" s="4" t="str">
        <f>HYPERLINK("http://sarles.ee","link")</f>
        <v>link</v>
      </c>
      <c r="J19" t="s">
        <v>155</v>
      </c>
      <c r="K19" t="s">
        <v>208</v>
      </c>
      <c r="L19" t="s">
        <v>209</v>
      </c>
      <c r="M19" s="4" t="str">
        <f>HYPERLINK("https://ssb.ee/12144804-ID/meedia-arvamuslood","link")</f>
        <v>link</v>
      </c>
      <c r="N19" t="s">
        <v>210</v>
      </c>
      <c r="O19" s="5">
        <v>40772</v>
      </c>
      <c r="P19" t="s">
        <v>47</v>
      </c>
      <c r="Q19" s="6">
        <v>100000</v>
      </c>
      <c r="R19">
        <v>2021</v>
      </c>
      <c r="S19" s="7" t="s">
        <v>47</v>
      </c>
      <c r="T19" s="7" t="s">
        <v>47</v>
      </c>
      <c r="U19" s="7" t="s">
        <v>47</v>
      </c>
      <c r="V19">
        <v>0.01</v>
      </c>
      <c r="W19" s="8" t="s">
        <v>48</v>
      </c>
      <c r="X19" t="s">
        <v>49</v>
      </c>
      <c r="Y19" s="4" t="str">
        <f>HYPERLINK("https://ssb.ee/12144804-ID/kohustused-volad-kohtulahendid","link")</f>
        <v>link</v>
      </c>
      <c r="Z19">
        <v>2160</v>
      </c>
      <c r="AA19" s="4" t="str">
        <f>HYPERLINK("https://ssb.ee/12144804-ID/finantsid-varad-prognoosid","link")</f>
        <v>link</v>
      </c>
      <c r="AB19" s="6">
        <v>65366</v>
      </c>
      <c r="AC19" s="6">
        <v>26998</v>
      </c>
      <c r="AD19" s="6">
        <v>1681829</v>
      </c>
      <c r="AE19">
        <v>10</v>
      </c>
      <c r="AF19" s="6">
        <v>5980853</v>
      </c>
      <c r="AG19" s="6">
        <v>1690</v>
      </c>
      <c r="AH19" s="4" t="str">
        <f>HYPERLINK("https://ssb.ee/12144804-ID/tootajad-palgad","link")</f>
        <v>link</v>
      </c>
      <c r="AI19" t="s">
        <v>211</v>
      </c>
      <c r="AJ19">
        <v>0.23799999999999999</v>
      </c>
      <c r="AK19" s="9" t="s">
        <v>51</v>
      </c>
      <c r="AL19" s="4" t="str">
        <f>HYPERLINK("https://ssb.ee/juhatuse-liikme-cv?id=299661","link")</f>
        <v>link</v>
      </c>
    </row>
    <row r="20" spans="1:38" x14ac:dyDescent="0.25">
      <c r="A20">
        <v>11139497</v>
      </c>
      <c r="B20" t="s">
        <v>214</v>
      </c>
      <c r="C20" s="3">
        <v>38595</v>
      </c>
      <c r="D20" t="s">
        <v>39</v>
      </c>
      <c r="E20" t="s">
        <v>215</v>
      </c>
      <c r="F20" s="4" t="str">
        <f>HYPERLINK("https://ssb.ee/11139497-ID/otsustajad-kasusaajad","link")</f>
        <v>link</v>
      </c>
      <c r="G20" t="s">
        <v>216</v>
      </c>
      <c r="H20" t="s">
        <v>217</v>
      </c>
      <c r="I20" s="4" t="str">
        <f>HYPERLINK("https://bioservis.ee/ ","link")</f>
        <v>link</v>
      </c>
      <c r="J20" t="s">
        <v>218</v>
      </c>
      <c r="K20" t="s">
        <v>219</v>
      </c>
      <c r="L20" t="s">
        <v>220</v>
      </c>
      <c r="M20" s="4" t="str">
        <f>HYPERLINK("https://ssb.ee/11139497-ID/meedia-arvamuslood","link")</f>
        <v>link</v>
      </c>
      <c r="N20" t="s">
        <v>221</v>
      </c>
      <c r="O20" s="5">
        <v>38614</v>
      </c>
      <c r="P20" t="s">
        <v>47</v>
      </c>
      <c r="Q20" s="6">
        <v>97000</v>
      </c>
      <c r="R20">
        <v>2021</v>
      </c>
      <c r="S20" s="7" t="s">
        <v>47</v>
      </c>
      <c r="T20" s="7" t="s">
        <v>47</v>
      </c>
      <c r="U20" s="7" t="s">
        <v>47</v>
      </c>
      <c r="V20">
        <v>0.01</v>
      </c>
      <c r="W20" s="8" t="s">
        <v>48</v>
      </c>
      <c r="X20" t="s">
        <v>49</v>
      </c>
      <c r="Y20" s="4" t="str">
        <f>HYPERLINK("https://ssb.ee/11139497-ID/kohustused-volad-kohtulahendid","link")</f>
        <v>link</v>
      </c>
      <c r="Z20">
        <v>6570</v>
      </c>
      <c r="AA20" s="4" t="str">
        <f>HYPERLINK("https://ssb.ee/11139497-ID/finantsid-varad-prognoosid","link")</f>
        <v>link</v>
      </c>
      <c r="AB20" s="6">
        <v>189708</v>
      </c>
      <c r="AC20" s="6">
        <v>88200</v>
      </c>
      <c r="AD20" s="6">
        <v>1176516</v>
      </c>
      <c r="AE20">
        <v>44</v>
      </c>
      <c r="AF20" s="6">
        <v>2600756</v>
      </c>
      <c r="AG20" s="6">
        <v>1390</v>
      </c>
      <c r="AH20" s="4" t="str">
        <f>HYPERLINK("https://ssb.ee/11139497-ID/tootajad-palgad","link")</f>
        <v>link</v>
      </c>
      <c r="AI20" t="s">
        <v>222</v>
      </c>
      <c r="AJ20">
        <v>0.01</v>
      </c>
      <c r="AK20" s="8" t="s">
        <v>48</v>
      </c>
      <c r="AL20" s="4" t="str">
        <f>HYPERLINK("https://ssb.ee/juhatuse-liikme-cv?id=294767","link")</f>
        <v>link</v>
      </c>
    </row>
    <row r="21" spans="1:38" x14ac:dyDescent="0.25">
      <c r="A21">
        <v>75008953</v>
      </c>
      <c r="B21" t="s">
        <v>224</v>
      </c>
      <c r="C21" s="3">
        <v>37392</v>
      </c>
      <c r="D21" t="s">
        <v>39</v>
      </c>
      <c r="E21" t="s">
        <v>225</v>
      </c>
      <c r="F21" s="4" t="str">
        <f>HYPERLINK("https://ssb.ee/75008953-ID/otsustajad-kasusaajad","link")</f>
        <v>link</v>
      </c>
      <c r="G21" t="s">
        <v>226</v>
      </c>
      <c r="H21" t="s">
        <v>227</v>
      </c>
      <c r="I21" s="4" t="str">
        <f>HYPERLINK("http://kadriorupark.ee/park ","link")</f>
        <v>link</v>
      </c>
      <c r="J21" t="s">
        <v>228</v>
      </c>
      <c r="K21" t="s">
        <v>229</v>
      </c>
      <c r="L21" t="s">
        <v>230</v>
      </c>
      <c r="M21" s="4" t="str">
        <f>HYPERLINK("https://ssb.ee/75008953-ID/meedia-arvamuslood","link")</f>
        <v>link</v>
      </c>
      <c r="N21" t="s">
        <v>231</v>
      </c>
      <c r="O21" s="5">
        <v>37469</v>
      </c>
      <c r="P21" t="s">
        <v>47</v>
      </c>
      <c r="Q21" s="6">
        <v>51500</v>
      </c>
      <c r="R21" t="s">
        <v>47</v>
      </c>
      <c r="S21" s="7" t="s">
        <v>47</v>
      </c>
      <c r="T21" s="7" t="s">
        <v>47</v>
      </c>
      <c r="U21" s="7" t="s">
        <v>47</v>
      </c>
      <c r="V21">
        <v>0.01</v>
      </c>
      <c r="W21" s="8" t="s">
        <v>48</v>
      </c>
      <c r="X21" t="s">
        <v>49</v>
      </c>
      <c r="Y21" s="4" t="str">
        <f>HYPERLINK("https://ssb.ee/75008953-ID/kohustused-volad-kohtulahendid","link")</f>
        <v>link</v>
      </c>
      <c r="Z21">
        <v>7680</v>
      </c>
      <c r="AA21" s="4" t="str">
        <f>HYPERLINK("https://ssb.ee/75008953-ID/finantsid-varad-prognoosid","link")</f>
        <v>link</v>
      </c>
      <c r="AB21" s="6">
        <v>220984</v>
      </c>
      <c r="AC21" s="6">
        <v>230343</v>
      </c>
      <c r="AD21" s="6">
        <v>320682</v>
      </c>
      <c r="AE21">
        <v>137</v>
      </c>
      <c r="AF21" s="6">
        <v>1165972</v>
      </c>
      <c r="AG21" s="6">
        <v>1170</v>
      </c>
      <c r="AH21" s="4" t="str">
        <f>HYPERLINK("https://ssb.ee/75008953-ID/tootajad-palgad","link")</f>
        <v>link</v>
      </c>
      <c r="AI21" t="s">
        <v>232</v>
      </c>
      <c r="AJ21">
        <v>7.0000000000000001E-3</v>
      </c>
      <c r="AK21" s="8" t="s">
        <v>48</v>
      </c>
      <c r="AL21" s="4" t="str">
        <f>HYPERLINK("https://ssb.ee/juhatuse-liikme-cv?id=526849","link")</f>
        <v>link</v>
      </c>
    </row>
    <row r="22" spans="1:38" x14ac:dyDescent="0.25">
      <c r="A22">
        <v>11655017</v>
      </c>
      <c r="B22" t="s">
        <v>233</v>
      </c>
      <c r="C22" s="3">
        <v>39968</v>
      </c>
      <c r="D22" t="s">
        <v>39</v>
      </c>
      <c r="E22" t="s">
        <v>234</v>
      </c>
      <c r="F22" s="4" t="str">
        <f>HYPERLINK("https://ssb.ee/11655017-ID/otsustajad-kasusaajad","link")</f>
        <v>link</v>
      </c>
      <c r="G22" t="s">
        <v>235</v>
      </c>
      <c r="H22" t="s">
        <v>47</v>
      </c>
      <c r="I22" s="4" t="str">
        <f>HYPERLINK("https://www.jrebel.com/ ","link")</f>
        <v>link</v>
      </c>
      <c r="J22" t="s">
        <v>112</v>
      </c>
      <c r="K22" t="s">
        <v>113</v>
      </c>
      <c r="L22" t="s">
        <v>114</v>
      </c>
      <c r="M22" s="4" t="str">
        <f>HYPERLINK("https://ssb.ee/11655017-ID/meedia-arvamuslood","link")</f>
        <v>link</v>
      </c>
      <c r="N22" t="s">
        <v>236</v>
      </c>
      <c r="O22" s="5">
        <v>40086</v>
      </c>
      <c r="P22" t="s">
        <v>47</v>
      </c>
      <c r="Q22" s="6">
        <v>100000</v>
      </c>
      <c r="R22">
        <v>2020</v>
      </c>
      <c r="S22" s="7" t="s">
        <v>47</v>
      </c>
      <c r="T22" s="7" t="s">
        <v>47</v>
      </c>
      <c r="U22" s="7" t="s">
        <v>47</v>
      </c>
      <c r="V22">
        <v>0.01</v>
      </c>
      <c r="W22" s="8" t="s">
        <v>48</v>
      </c>
      <c r="X22" t="s">
        <v>49</v>
      </c>
      <c r="Y22" s="4" t="str">
        <f>HYPERLINK("https://ssb.ee/11655017-ID/kohustused-volad-kohtulahendid","link")</f>
        <v>link</v>
      </c>
      <c r="Z22">
        <v>6450</v>
      </c>
      <c r="AA22" s="4" t="str">
        <f>HYPERLINK("https://ssb.ee/11655017-ID/finantsid-varad-prognoosid","link")</f>
        <v>link</v>
      </c>
      <c r="AB22" s="6">
        <v>564667</v>
      </c>
      <c r="AC22" s="6">
        <v>584897</v>
      </c>
      <c r="AD22" s="6">
        <v>3477178</v>
      </c>
      <c r="AE22">
        <v>68</v>
      </c>
      <c r="AF22" s="6">
        <v>14344975</v>
      </c>
      <c r="AG22" s="6">
        <v>5060</v>
      </c>
      <c r="AH22" s="4" t="str">
        <f>HYPERLINK("https://ssb.ee/11655017-ID/tootajad-palgad","link")</f>
        <v>link</v>
      </c>
      <c r="AI22" t="s">
        <v>237</v>
      </c>
      <c r="AJ22">
        <v>0.01</v>
      </c>
      <c r="AK22" s="8" t="s">
        <v>48</v>
      </c>
      <c r="AL22" s="4" t="str">
        <f>HYPERLINK("https://ssb.ee/juhatuse-liikme-cv?id=2087356","link")</f>
        <v>link</v>
      </c>
    </row>
    <row r="23" spans="1:38" x14ac:dyDescent="0.25">
      <c r="A23">
        <v>10194979</v>
      </c>
      <c r="B23" t="s">
        <v>238</v>
      </c>
      <c r="C23" s="3">
        <v>35494</v>
      </c>
      <c r="D23" t="s">
        <v>39</v>
      </c>
      <c r="E23" t="s">
        <v>239</v>
      </c>
      <c r="F23" s="4" t="str">
        <f>HYPERLINK("https://ssb.ee/10194979-ID/otsustajad-kasusaajad","link")</f>
        <v>link</v>
      </c>
      <c r="G23" t="s">
        <v>240</v>
      </c>
      <c r="H23" t="s">
        <v>241</v>
      </c>
      <c r="I23" s="4" t="str">
        <f>HYPERLINK("http://geo.ee","link")</f>
        <v>link</v>
      </c>
      <c r="J23" t="s">
        <v>201</v>
      </c>
      <c r="K23" t="s">
        <v>202</v>
      </c>
      <c r="L23" t="s">
        <v>203</v>
      </c>
      <c r="M23" s="4" t="str">
        <f>HYPERLINK("https://ssb.ee/10194979-ID/meedia-arvamuslood","link")</f>
        <v>link</v>
      </c>
      <c r="N23" t="s">
        <v>242</v>
      </c>
      <c r="O23" s="5">
        <v>35735</v>
      </c>
      <c r="P23" t="s">
        <v>47</v>
      </c>
      <c r="Q23" s="6">
        <v>12400</v>
      </c>
      <c r="R23">
        <v>2021</v>
      </c>
      <c r="S23" s="7" t="s">
        <v>47</v>
      </c>
      <c r="T23" s="7" t="s">
        <v>47</v>
      </c>
      <c r="U23" s="7" t="s">
        <v>47</v>
      </c>
      <c r="V23">
        <v>0.01</v>
      </c>
      <c r="W23" s="8" t="s">
        <v>48</v>
      </c>
      <c r="X23" t="s">
        <v>49</v>
      </c>
      <c r="Y23" s="4" t="str">
        <f>HYPERLINK("https://ssb.ee/10194979-ID/kohustused-volad-kohtulahendid","link")</f>
        <v>link</v>
      </c>
      <c r="Z23">
        <v>2080</v>
      </c>
      <c r="AA23" s="4" t="str">
        <f>HYPERLINK("https://ssb.ee/10194979-ID/finantsid-varad-prognoosid","link")</f>
        <v>link</v>
      </c>
      <c r="AB23" s="6">
        <v>46485</v>
      </c>
      <c r="AC23" s="6">
        <v>38227</v>
      </c>
      <c r="AD23" s="6">
        <v>101374</v>
      </c>
      <c r="AE23">
        <v>12</v>
      </c>
      <c r="AF23" s="6">
        <v>621254</v>
      </c>
      <c r="AG23" s="6">
        <v>1920</v>
      </c>
      <c r="AH23" s="4" t="str">
        <f>HYPERLINK("https://ssb.ee/10194979-ID/tootajad-palgad","link")</f>
        <v>link</v>
      </c>
      <c r="AI23" t="s">
        <v>243</v>
      </c>
      <c r="AJ23">
        <v>0.01</v>
      </c>
      <c r="AK23" s="8" t="s">
        <v>48</v>
      </c>
      <c r="AL23" s="4" t="str">
        <f>HYPERLINK("https://ssb.ee/juhatuse-liikme-cv?id=303979","link")</f>
        <v>link</v>
      </c>
    </row>
    <row r="24" spans="1:38" x14ac:dyDescent="0.25">
      <c r="A24">
        <v>12131598</v>
      </c>
      <c r="B24" t="s">
        <v>244</v>
      </c>
      <c r="C24" s="3">
        <v>40732</v>
      </c>
      <c r="D24" t="s">
        <v>39</v>
      </c>
      <c r="E24" t="s">
        <v>245</v>
      </c>
      <c r="F24" s="4" t="str">
        <f>HYPERLINK("https://ssb.ee/12131598-ID/otsustajad-kasusaajad","link")</f>
        <v>link</v>
      </c>
      <c r="G24" t="s">
        <v>246</v>
      </c>
      <c r="H24" t="s">
        <v>247</v>
      </c>
      <c r="I24" s="4" t="str">
        <f>HYPERLINK("https://www.epiim.ee/","link")</f>
        <v>link</v>
      </c>
      <c r="J24" t="s">
        <v>196</v>
      </c>
      <c r="K24" t="s">
        <v>248</v>
      </c>
      <c r="L24" t="s">
        <v>249</v>
      </c>
      <c r="M24" s="4" t="str">
        <f>HYPERLINK("https://ssb.ee/12131598-ID/meedia-arvamuslood","link")</f>
        <v>link</v>
      </c>
      <c r="N24" t="s">
        <v>250</v>
      </c>
      <c r="O24" s="5">
        <v>40878</v>
      </c>
      <c r="P24" t="s">
        <v>47</v>
      </c>
      <c r="Q24" s="6">
        <v>100000</v>
      </c>
      <c r="R24">
        <v>2021</v>
      </c>
      <c r="S24" s="7" t="s">
        <v>47</v>
      </c>
      <c r="T24" s="7" t="s">
        <v>47</v>
      </c>
      <c r="U24" s="7" t="s">
        <v>47</v>
      </c>
      <c r="V24">
        <v>0.01</v>
      </c>
      <c r="W24" s="8" t="s">
        <v>48</v>
      </c>
      <c r="X24" t="s">
        <v>49</v>
      </c>
      <c r="Y24" s="4" t="str">
        <f>HYPERLINK("https://ssb.ee/12131598-ID/kohustused-volad-kohtulahendid","link")</f>
        <v>link</v>
      </c>
      <c r="Z24">
        <v>37040</v>
      </c>
      <c r="AA24" s="4" t="str">
        <f>HYPERLINK("https://ssb.ee/12131598-ID/finantsid-varad-prognoosid","link")</f>
        <v>link</v>
      </c>
      <c r="AB24" s="6" t="s">
        <v>47</v>
      </c>
      <c r="AC24" s="6">
        <v>354835</v>
      </c>
      <c r="AD24" s="6">
        <v>24185346</v>
      </c>
      <c r="AE24">
        <v>166</v>
      </c>
      <c r="AF24" s="6">
        <v>80473453</v>
      </c>
      <c r="AG24" s="6">
        <v>1465</v>
      </c>
      <c r="AH24" s="4" t="str">
        <f>HYPERLINK("https://ssb.ee/12131598-ID/tootajad-palgad","link")</f>
        <v>link</v>
      </c>
      <c r="AI24" t="s">
        <v>251</v>
      </c>
      <c r="AJ24">
        <v>0.246</v>
      </c>
      <c r="AK24" s="9" t="s">
        <v>51</v>
      </c>
      <c r="AL24" s="4" t="str">
        <f>HYPERLINK("https://ssb.ee/juhatuse-liikme-cv?id=293013","link")</f>
        <v>link</v>
      </c>
    </row>
    <row r="25" spans="1:38" x14ac:dyDescent="0.25">
      <c r="A25">
        <v>10224864</v>
      </c>
      <c r="B25" t="s">
        <v>252</v>
      </c>
      <c r="C25" s="3">
        <v>34335</v>
      </c>
      <c r="D25" t="s">
        <v>39</v>
      </c>
      <c r="E25" t="s">
        <v>253</v>
      </c>
      <c r="F25" s="4" t="str">
        <f>HYPERLINK("https://ssb.ee/10224864-ID/otsustajad-kasusaajad","link")</f>
        <v>link</v>
      </c>
      <c r="G25" t="s">
        <v>254</v>
      </c>
      <c r="H25" t="s">
        <v>255</v>
      </c>
      <c r="I25" s="4" t="str">
        <f>HYPERLINK("https://www.leibur.ee/","link")</f>
        <v>link</v>
      </c>
      <c r="J25" t="s">
        <v>43</v>
      </c>
      <c r="K25" t="s">
        <v>256</v>
      </c>
      <c r="L25" t="s">
        <v>257</v>
      </c>
      <c r="M25" s="4" t="str">
        <f>HYPERLINK("https://ssb.ee/10224864-ID/meedia-arvamuslood","link")</f>
        <v>link</v>
      </c>
      <c r="N25" t="s">
        <v>258</v>
      </c>
      <c r="O25" s="5">
        <v>34335</v>
      </c>
      <c r="P25" t="s">
        <v>47</v>
      </c>
      <c r="Q25" s="6">
        <v>100000</v>
      </c>
      <c r="R25">
        <v>2020</v>
      </c>
      <c r="S25" s="7" t="s">
        <v>47</v>
      </c>
      <c r="T25" s="7" t="s">
        <v>47</v>
      </c>
      <c r="U25" s="7" t="s">
        <v>47</v>
      </c>
      <c r="V25">
        <v>0.01</v>
      </c>
      <c r="W25" s="8" t="s">
        <v>48</v>
      </c>
      <c r="X25" t="s">
        <v>49</v>
      </c>
      <c r="Y25" s="4" t="str">
        <f>HYPERLINK("https://ssb.ee/10224864-ID/kohustused-volad-kohtulahendid","link")</f>
        <v>link</v>
      </c>
      <c r="Z25">
        <v>24400</v>
      </c>
      <c r="AA25" s="4" t="str">
        <f>HYPERLINK("https://ssb.ee/10224864-ID/finantsid-varad-prognoosid","link")</f>
        <v>link</v>
      </c>
      <c r="AB25" s="6">
        <v>529229</v>
      </c>
      <c r="AC25" s="6">
        <v>549253</v>
      </c>
      <c r="AD25" s="6">
        <v>10204057</v>
      </c>
      <c r="AE25">
        <v>204</v>
      </c>
      <c r="AF25" s="6">
        <v>30472910</v>
      </c>
      <c r="AG25" s="6">
        <v>1690</v>
      </c>
      <c r="AH25" s="4" t="str">
        <f>HYPERLINK("https://ssb.ee/10224864-ID/tootajad-palgad","link")</f>
        <v>link</v>
      </c>
      <c r="AI25" t="s">
        <v>259</v>
      </c>
      <c r="AJ25">
        <v>0.126</v>
      </c>
      <c r="AK25" s="8" t="s">
        <v>48</v>
      </c>
      <c r="AL25" s="4" t="str">
        <f>HYPERLINK("https://ssb.ee/juhatuse-liikme-cv?id=369048","link")</f>
        <v>link</v>
      </c>
    </row>
    <row r="26" spans="1:38" x14ac:dyDescent="0.25">
      <c r="A26">
        <v>10373825</v>
      </c>
      <c r="B26" t="s">
        <v>260</v>
      </c>
      <c r="C26" s="3">
        <v>35851</v>
      </c>
      <c r="D26" t="s">
        <v>39</v>
      </c>
      <c r="E26" t="s">
        <v>261</v>
      </c>
      <c r="F26" s="4" t="str">
        <f>HYPERLINK("https://ssb.ee/10373825-ID/otsustajad-kasusaajad","link")</f>
        <v>link</v>
      </c>
      <c r="G26" t="s">
        <v>262</v>
      </c>
      <c r="H26" t="s">
        <v>263</v>
      </c>
      <c r="I26" s="4" t="str">
        <f>HYPERLINK("https://parnuauto.ee/","link")</f>
        <v>link</v>
      </c>
      <c r="J26" t="s">
        <v>81</v>
      </c>
      <c r="K26" t="s">
        <v>264</v>
      </c>
      <c r="L26" t="s">
        <v>265</v>
      </c>
      <c r="M26" s="4" t="str">
        <f>HYPERLINK("https://ssb.ee/10373825-ID/meedia-arvamuslood","link")</f>
        <v>link</v>
      </c>
      <c r="N26" t="s">
        <v>266</v>
      </c>
      <c r="O26" s="5">
        <v>35855</v>
      </c>
      <c r="P26" t="s">
        <v>47</v>
      </c>
      <c r="Q26" s="6">
        <v>16200</v>
      </c>
      <c r="R26">
        <v>2021</v>
      </c>
      <c r="S26" s="7" t="s">
        <v>47</v>
      </c>
      <c r="T26" s="7" t="s">
        <v>47</v>
      </c>
      <c r="U26" s="7" t="s">
        <v>47</v>
      </c>
      <c r="V26">
        <v>0.01</v>
      </c>
      <c r="W26" s="8" t="s">
        <v>48</v>
      </c>
      <c r="X26" t="s">
        <v>49</v>
      </c>
      <c r="Y26" s="4" t="str">
        <f>HYPERLINK("https://ssb.ee/10373825-ID/kohustused-volad-kohtulahendid","link")</f>
        <v>link</v>
      </c>
      <c r="Z26">
        <v>3210</v>
      </c>
      <c r="AA26" s="4" t="str">
        <f>HYPERLINK("https://ssb.ee/10373825-ID/finantsid-varad-prognoosid","link")</f>
        <v>link</v>
      </c>
      <c r="AB26" s="6">
        <v>26556</v>
      </c>
      <c r="AC26" s="6">
        <v>10945</v>
      </c>
      <c r="AD26" s="6">
        <v>206049</v>
      </c>
      <c r="AE26">
        <v>10</v>
      </c>
      <c r="AF26" s="6">
        <v>799785</v>
      </c>
      <c r="AG26" s="6">
        <v>840</v>
      </c>
      <c r="AH26" s="4" t="str">
        <f>HYPERLINK("https://ssb.ee/10373825-ID/tootajad-palgad","link")</f>
        <v>link</v>
      </c>
      <c r="AI26" t="s">
        <v>267</v>
      </c>
      <c r="AJ26">
        <v>0.01</v>
      </c>
      <c r="AK26" s="8" t="s">
        <v>48</v>
      </c>
      <c r="AL26" s="4" t="str">
        <f>HYPERLINK("https://ssb.ee/juhatuse-liikme-cv?id=280285","link")</f>
        <v>link</v>
      </c>
    </row>
    <row r="27" spans="1:38" x14ac:dyDescent="0.25">
      <c r="A27">
        <v>10711570</v>
      </c>
      <c r="B27" t="s">
        <v>268</v>
      </c>
      <c r="C27" s="3">
        <v>36852</v>
      </c>
      <c r="D27" t="s">
        <v>39</v>
      </c>
      <c r="E27" t="s">
        <v>269</v>
      </c>
      <c r="F27" s="4" t="str">
        <f>HYPERLINK("https://ssb.ee/10711570-ID/otsustajad-kasusaajad","link")</f>
        <v>link</v>
      </c>
      <c r="G27" t="s">
        <v>270</v>
      </c>
      <c r="H27" t="s">
        <v>271</v>
      </c>
      <c r="I27" s="4" t="str">
        <f>HYPERLINK("http://brentex.eu/","link")</f>
        <v>link</v>
      </c>
      <c r="J27" t="s">
        <v>61</v>
      </c>
      <c r="K27" t="s">
        <v>99</v>
      </c>
      <c r="L27" t="s">
        <v>100</v>
      </c>
      <c r="M27" s="4" t="str">
        <f>HYPERLINK("https://ssb.ee/10711570-ID/meedia-arvamuslood","link")</f>
        <v>link</v>
      </c>
      <c r="N27" t="s">
        <v>272</v>
      </c>
      <c r="O27" s="5">
        <v>36861</v>
      </c>
      <c r="P27" t="s">
        <v>47</v>
      </c>
      <c r="Q27" s="6">
        <v>100000</v>
      </c>
      <c r="R27">
        <v>2021</v>
      </c>
      <c r="S27" s="7" t="s">
        <v>47</v>
      </c>
      <c r="T27" s="7" t="s">
        <v>47</v>
      </c>
      <c r="U27" s="7" t="s">
        <v>47</v>
      </c>
      <c r="V27">
        <v>0.01</v>
      </c>
      <c r="W27" s="8" t="s">
        <v>48</v>
      </c>
      <c r="X27" t="s">
        <v>49</v>
      </c>
      <c r="Y27" s="4" t="str">
        <f>HYPERLINK("https://ssb.ee/10711570-ID/kohustused-volad-kohtulahendid","link")</f>
        <v>link</v>
      </c>
      <c r="Z27">
        <v>5310</v>
      </c>
      <c r="AA27" s="4" t="str">
        <f>HYPERLINK("https://ssb.ee/10711570-ID/finantsid-varad-prognoosid","link")</f>
        <v>link</v>
      </c>
      <c r="AB27" s="6">
        <v>74657</v>
      </c>
      <c r="AC27" s="6">
        <v>61313</v>
      </c>
      <c r="AD27" s="6">
        <v>2287589</v>
      </c>
      <c r="AE27">
        <v>19</v>
      </c>
      <c r="AF27" s="6">
        <v>4834460</v>
      </c>
      <c r="AG27" s="6">
        <v>1995</v>
      </c>
      <c r="AH27" s="4" t="str">
        <f>HYPERLINK("https://ssb.ee/10711570-ID/tootajad-palgad","link")</f>
        <v>link</v>
      </c>
      <c r="AI27" t="s">
        <v>273</v>
      </c>
      <c r="AJ27">
        <v>0.01</v>
      </c>
      <c r="AK27" s="8" t="s">
        <v>48</v>
      </c>
      <c r="AL27" s="4" t="str">
        <f>HYPERLINK("https://ssb.ee/juhatuse-liikme-cv?id=291957","link")</f>
        <v>link</v>
      </c>
    </row>
    <row r="28" spans="1:38" x14ac:dyDescent="0.25">
      <c r="A28">
        <v>10077564</v>
      </c>
      <c r="B28" t="s">
        <v>274</v>
      </c>
      <c r="C28" s="3">
        <v>35383</v>
      </c>
      <c r="D28" t="s">
        <v>39</v>
      </c>
      <c r="E28" t="s">
        <v>275</v>
      </c>
      <c r="F28" s="4" t="str">
        <f>HYPERLINK("https://ssb.ee/10077564-ID/otsustajad-kasusaajad","link")</f>
        <v>link</v>
      </c>
      <c r="G28" t="s">
        <v>276</v>
      </c>
      <c r="H28" t="s">
        <v>277</v>
      </c>
      <c r="I28" s="4" t="str">
        <f>HYPERLINK("https://espak.ee/ ","link")</f>
        <v>link</v>
      </c>
      <c r="J28" t="s">
        <v>43</v>
      </c>
      <c r="K28" t="s">
        <v>278</v>
      </c>
      <c r="L28" t="s">
        <v>279</v>
      </c>
      <c r="M28" s="4" t="str">
        <f>HYPERLINK("https://ssb.ee/10077564-ID/meedia-arvamuslood","link")</f>
        <v>link</v>
      </c>
      <c r="N28" t="s">
        <v>280</v>
      </c>
      <c r="O28" s="5">
        <v>34335</v>
      </c>
      <c r="P28" t="s">
        <v>47</v>
      </c>
      <c r="Q28" s="6">
        <v>100000</v>
      </c>
      <c r="R28">
        <v>2021</v>
      </c>
      <c r="S28" s="7" t="s">
        <v>47</v>
      </c>
      <c r="T28" s="7" t="s">
        <v>47</v>
      </c>
      <c r="U28" s="7" t="s">
        <v>47</v>
      </c>
      <c r="V28">
        <v>0.01</v>
      </c>
      <c r="W28" s="8" t="s">
        <v>48</v>
      </c>
      <c r="X28" t="s">
        <v>49</v>
      </c>
      <c r="Y28" s="4" t="str">
        <f>HYPERLINK("https://ssb.ee/10077564-ID/kohustused-volad-kohtulahendid","link")</f>
        <v>link</v>
      </c>
      <c r="Z28">
        <v>46220</v>
      </c>
      <c r="AA28" s="4" t="str">
        <f>HYPERLINK("https://ssb.ee/10077564-ID/finantsid-varad-prognoosid","link")</f>
        <v>link</v>
      </c>
      <c r="AB28" s="6">
        <v>1432924</v>
      </c>
      <c r="AC28" s="6">
        <v>614438</v>
      </c>
      <c r="AD28" s="6">
        <v>29813398</v>
      </c>
      <c r="AE28">
        <v>240</v>
      </c>
      <c r="AF28" s="6">
        <v>81975981</v>
      </c>
      <c r="AG28" s="6">
        <v>1615</v>
      </c>
      <c r="AH28" s="4" t="str">
        <f>HYPERLINK("https://ssb.ee/10077564-ID/tootajad-palgad","link")</f>
        <v>link</v>
      </c>
      <c r="AI28" t="s">
        <v>281</v>
      </c>
      <c r="AJ28">
        <v>0.01</v>
      </c>
      <c r="AK28" s="8" t="s">
        <v>48</v>
      </c>
      <c r="AL28" s="4" t="str">
        <f>HYPERLINK("https://ssb.ee/juhatuse-liikme-cv?id=277813","link")</f>
        <v>link</v>
      </c>
    </row>
    <row r="29" spans="1:38" x14ac:dyDescent="0.25">
      <c r="A29">
        <v>10158185</v>
      </c>
      <c r="B29" t="s">
        <v>285</v>
      </c>
      <c r="C29" s="3">
        <v>35543</v>
      </c>
      <c r="D29" t="s">
        <v>39</v>
      </c>
      <c r="E29" t="s">
        <v>286</v>
      </c>
      <c r="F29" s="4" t="str">
        <f>HYPERLINK("https://ssb.ee/10158185-ID/otsustajad-kasusaajad","link")</f>
        <v>link</v>
      </c>
      <c r="G29" t="s">
        <v>287</v>
      </c>
      <c r="H29" t="s">
        <v>288</v>
      </c>
      <c r="I29" s="4" t="str">
        <f>HYPERLINK("https://inestmarket.ee/","link")</f>
        <v>link</v>
      </c>
      <c r="J29" t="s">
        <v>43</v>
      </c>
      <c r="K29" t="s">
        <v>289</v>
      </c>
      <c r="L29" t="s">
        <v>290</v>
      </c>
      <c r="M29" s="4" t="str">
        <f>HYPERLINK("https://ssb.ee/10158185-ID/meedia-arvamuslood","link")</f>
        <v>link</v>
      </c>
      <c r="N29" t="s">
        <v>291</v>
      </c>
      <c r="O29" s="5">
        <v>34394</v>
      </c>
      <c r="P29" t="s">
        <v>47</v>
      </c>
      <c r="Q29" s="6">
        <v>42000</v>
      </c>
      <c r="R29">
        <v>2021</v>
      </c>
      <c r="S29" s="7" t="s">
        <v>47</v>
      </c>
      <c r="T29" s="7" t="s">
        <v>47</v>
      </c>
      <c r="U29" s="7" t="s">
        <v>47</v>
      </c>
      <c r="V29">
        <v>0.01</v>
      </c>
      <c r="W29" s="8" t="s">
        <v>48</v>
      </c>
      <c r="X29" t="s">
        <v>49</v>
      </c>
      <c r="Y29" s="4" t="str">
        <f>HYPERLINK("https://ssb.ee/10158185-ID/kohustused-volad-kohtulahendid","link")</f>
        <v>link</v>
      </c>
      <c r="Z29">
        <v>4680</v>
      </c>
      <c r="AA29" s="4" t="str">
        <f>HYPERLINK("https://ssb.ee/10158185-ID/finantsid-varad-prognoosid","link")</f>
        <v>link</v>
      </c>
      <c r="AB29" s="6">
        <v>89165</v>
      </c>
      <c r="AC29" s="6">
        <v>40265</v>
      </c>
      <c r="AD29" s="6">
        <v>500743</v>
      </c>
      <c r="AE29">
        <v>35</v>
      </c>
      <c r="AF29" s="6">
        <v>3136864</v>
      </c>
      <c r="AG29" s="6">
        <v>910</v>
      </c>
      <c r="AH29" s="4" t="str">
        <f>HYPERLINK("https://ssb.ee/10158185-ID/tootajad-palgad","link")</f>
        <v>link</v>
      </c>
      <c r="AI29" t="s">
        <v>292</v>
      </c>
      <c r="AJ29">
        <v>0.01</v>
      </c>
      <c r="AK29" s="8" t="s">
        <v>48</v>
      </c>
      <c r="AL29" s="4" t="str">
        <f>HYPERLINK("https://ssb.ee/juhatuse-liikme-cv?id=271431","link")</f>
        <v>link</v>
      </c>
    </row>
    <row r="30" spans="1:38" x14ac:dyDescent="0.25">
      <c r="A30">
        <v>10339701</v>
      </c>
      <c r="B30" t="s">
        <v>293</v>
      </c>
      <c r="C30" s="3">
        <v>34335</v>
      </c>
      <c r="D30" t="s">
        <v>39</v>
      </c>
      <c r="E30" t="s">
        <v>294</v>
      </c>
      <c r="F30" s="4" t="str">
        <f>HYPERLINK("https://ssb.ee/10339701-ID/otsustajad-kasusaajad","link")</f>
        <v>link</v>
      </c>
      <c r="G30" t="s">
        <v>295</v>
      </c>
      <c r="H30" t="s">
        <v>296</v>
      </c>
      <c r="I30" s="4" t="str">
        <f>HYPERLINK("http://katelapuit.ee","link")</f>
        <v>link</v>
      </c>
      <c r="J30" t="s">
        <v>196</v>
      </c>
      <c r="K30" t="s">
        <v>297</v>
      </c>
      <c r="L30" t="s">
        <v>298</v>
      </c>
      <c r="M30" s="4" t="str">
        <f>HYPERLINK("https://ssb.ee/10339701-ID/meedia-arvamuslood","link")</f>
        <v>link</v>
      </c>
      <c r="N30" t="s">
        <v>299</v>
      </c>
      <c r="O30" s="5">
        <v>34335</v>
      </c>
      <c r="P30" t="s">
        <v>47</v>
      </c>
      <c r="Q30" s="6">
        <v>43800</v>
      </c>
      <c r="R30">
        <v>2021</v>
      </c>
      <c r="S30" s="7" t="s">
        <v>47</v>
      </c>
      <c r="T30" s="7" t="s">
        <v>47</v>
      </c>
      <c r="U30" s="7" t="s">
        <v>47</v>
      </c>
      <c r="V30">
        <v>0.01</v>
      </c>
      <c r="W30" s="8" t="s">
        <v>48</v>
      </c>
      <c r="X30" t="s">
        <v>49</v>
      </c>
      <c r="Y30" s="4" t="str">
        <f>HYPERLINK("https://ssb.ee/10339701-ID/kohustused-volad-kohtulahendid","link")</f>
        <v>link</v>
      </c>
      <c r="Z30">
        <v>2140</v>
      </c>
      <c r="AA30" s="4" t="str">
        <f>HYPERLINK("https://ssb.ee/10339701-ID/finantsid-varad-prognoosid","link")</f>
        <v>link</v>
      </c>
      <c r="AB30" s="6">
        <v>76930</v>
      </c>
      <c r="AC30" s="6">
        <v>30036</v>
      </c>
      <c r="AD30" s="6">
        <v>550350</v>
      </c>
      <c r="AE30">
        <v>27</v>
      </c>
      <c r="AF30" s="6">
        <v>1485666</v>
      </c>
      <c r="AG30" s="6">
        <v>840</v>
      </c>
      <c r="AH30" s="4" t="str">
        <f>HYPERLINK("https://ssb.ee/10339701-ID/tootajad-palgad","link")</f>
        <v>link</v>
      </c>
      <c r="AI30" t="s">
        <v>300</v>
      </c>
      <c r="AJ30">
        <v>0.01</v>
      </c>
      <c r="AK30" s="8" t="s">
        <v>48</v>
      </c>
      <c r="AL30" s="4" t="str">
        <f>HYPERLINK("https://ssb.ee/juhatuse-liikme-cv?id=278982","link")</f>
        <v>link</v>
      </c>
    </row>
    <row r="31" spans="1:38" x14ac:dyDescent="0.25">
      <c r="A31">
        <v>14172638</v>
      </c>
      <c r="B31" t="s">
        <v>301</v>
      </c>
      <c r="C31" s="3">
        <v>42725</v>
      </c>
      <c r="D31" t="s">
        <v>39</v>
      </c>
      <c r="E31" t="s">
        <v>302</v>
      </c>
      <c r="F31" s="4" t="str">
        <f>HYPERLINK("https://ssb.ee/14172638-ID/otsustajad-kasusaajad","link")</f>
        <v>link</v>
      </c>
      <c r="G31" t="s">
        <v>303</v>
      </c>
      <c r="H31" t="s">
        <v>304</v>
      </c>
      <c r="I31" s="4" t="str">
        <f>HYPERLINK("https://laikabet.com/ ","link")</f>
        <v>link</v>
      </c>
      <c r="J31" t="s">
        <v>196</v>
      </c>
      <c r="K31" t="s">
        <v>305</v>
      </c>
      <c r="L31" t="s">
        <v>306</v>
      </c>
      <c r="M31" s="4" t="str">
        <f>HYPERLINK("https://ssb.ee/14172638-ID/meedia-arvamuslood","link")</f>
        <v>link</v>
      </c>
      <c r="N31" t="s">
        <v>307</v>
      </c>
      <c r="O31" s="5">
        <v>43353</v>
      </c>
      <c r="P31" t="s">
        <v>47</v>
      </c>
      <c r="Q31" s="6">
        <v>78300</v>
      </c>
      <c r="R31">
        <v>2021</v>
      </c>
      <c r="S31" s="7" t="s">
        <v>47</v>
      </c>
      <c r="T31" s="7" t="s">
        <v>47</v>
      </c>
      <c r="U31" s="7" t="s">
        <v>47</v>
      </c>
      <c r="V31">
        <v>0.01</v>
      </c>
      <c r="W31" s="8" t="s">
        <v>48</v>
      </c>
      <c r="X31" t="s">
        <v>49</v>
      </c>
      <c r="Y31" s="4" t="str">
        <f>HYPERLINK("https://ssb.ee/14172638-ID/kohustused-volad-kohtulahendid","link")</f>
        <v>link</v>
      </c>
      <c r="Z31">
        <v>2270</v>
      </c>
      <c r="AA31" s="4" t="str">
        <f>HYPERLINK("https://ssb.ee/14172638-ID/finantsid-varad-prognoosid","link")</f>
        <v>link</v>
      </c>
      <c r="AB31" s="6">
        <v>33606</v>
      </c>
      <c r="AC31" s="6">
        <v>15599</v>
      </c>
      <c r="AD31" s="6">
        <v>1125265</v>
      </c>
      <c r="AE31">
        <v>6</v>
      </c>
      <c r="AF31" s="6">
        <v>3225724</v>
      </c>
      <c r="AG31" s="6">
        <v>1690</v>
      </c>
      <c r="AH31" s="4" t="str">
        <f>HYPERLINK("https://ssb.ee/14172638-ID/tootajad-palgad","link")</f>
        <v>link</v>
      </c>
      <c r="AI31" t="s">
        <v>308</v>
      </c>
      <c r="AJ31">
        <v>0.192</v>
      </c>
      <c r="AK31" s="9" t="s">
        <v>51</v>
      </c>
      <c r="AL31" s="4" t="str">
        <f>HYPERLINK("https://ssb.ee/juhatuse-liikme-cv?id=1021936","link")</f>
        <v>link</v>
      </c>
    </row>
    <row r="32" spans="1:38" x14ac:dyDescent="0.25">
      <c r="A32">
        <v>10303948</v>
      </c>
      <c r="B32" t="s">
        <v>309</v>
      </c>
      <c r="C32" s="3">
        <v>35723</v>
      </c>
      <c r="D32" t="s">
        <v>39</v>
      </c>
      <c r="E32" t="s">
        <v>127</v>
      </c>
      <c r="F32" s="4" t="str">
        <f>HYPERLINK("https://ssb.ee/10303948-ID/otsustajad-kasusaajad","link")</f>
        <v>link</v>
      </c>
      <c r="G32" t="s">
        <v>310</v>
      </c>
      <c r="H32" t="s">
        <v>311</v>
      </c>
      <c r="I32" s="4" t="str">
        <f>HYPERLINK("https://qvalitas.ee/ ","link")</f>
        <v>link</v>
      </c>
      <c r="J32" t="s">
        <v>143</v>
      </c>
      <c r="K32" t="s">
        <v>312</v>
      </c>
      <c r="L32" t="s">
        <v>313</v>
      </c>
      <c r="M32" s="4" t="str">
        <f>HYPERLINK("https://ssb.ee/10303948-ID/meedia-arvamuslood","link")</f>
        <v>link</v>
      </c>
      <c r="N32" t="s">
        <v>314</v>
      </c>
      <c r="O32" s="5">
        <v>34790</v>
      </c>
      <c r="P32" t="s">
        <v>47</v>
      </c>
      <c r="Q32" s="6">
        <v>98300</v>
      </c>
      <c r="R32">
        <v>2021</v>
      </c>
      <c r="S32" s="7" t="s">
        <v>47</v>
      </c>
      <c r="T32" s="7" t="s">
        <v>47</v>
      </c>
      <c r="U32" s="7" t="s">
        <v>47</v>
      </c>
      <c r="V32">
        <v>0.01</v>
      </c>
      <c r="W32" s="8" t="s">
        <v>48</v>
      </c>
      <c r="X32" t="s">
        <v>49</v>
      </c>
      <c r="Y32" s="4" t="str">
        <f>HYPERLINK("https://ssb.ee/10303948-ID/kohustused-volad-kohtulahendid","link")</f>
        <v>link</v>
      </c>
      <c r="Z32">
        <v>24360</v>
      </c>
      <c r="AA32" s="4" t="str">
        <f>HYPERLINK("https://ssb.ee/10303948-ID/finantsid-varad-prognoosid","link")</f>
        <v>link</v>
      </c>
      <c r="AB32" s="6">
        <v>682616</v>
      </c>
      <c r="AC32" s="6">
        <v>707948</v>
      </c>
      <c r="AD32" s="6">
        <v>83459</v>
      </c>
      <c r="AE32">
        <v>423</v>
      </c>
      <c r="AF32" s="6">
        <v>15003090</v>
      </c>
      <c r="AG32" s="6">
        <v>1170</v>
      </c>
      <c r="AH32" s="4" t="str">
        <f>HYPERLINK("https://ssb.ee/10303948-ID/tootajad-palgad","link")</f>
        <v>link</v>
      </c>
      <c r="AI32" t="s">
        <v>315</v>
      </c>
      <c r="AJ32">
        <v>0.14699999999999999</v>
      </c>
      <c r="AK32" s="9" t="s">
        <v>51</v>
      </c>
      <c r="AL32" s="4" t="str">
        <f>HYPERLINK("https://ssb.ee/juhatuse-liikme-cv?id=277568","link")</f>
        <v>link</v>
      </c>
    </row>
    <row r="33" spans="1:38" x14ac:dyDescent="0.25">
      <c r="A33">
        <v>10771359</v>
      </c>
      <c r="B33" t="s">
        <v>316</v>
      </c>
      <c r="C33" s="3">
        <v>37040</v>
      </c>
      <c r="D33" t="s">
        <v>39</v>
      </c>
      <c r="E33" t="s">
        <v>317</v>
      </c>
      <c r="F33" s="4" t="str">
        <f>HYPERLINK("https://ssb.ee/10771359-ID/otsustajad-kasusaajad","link")</f>
        <v>link</v>
      </c>
      <c r="G33" t="s">
        <v>318</v>
      </c>
      <c r="H33" t="s">
        <v>319</v>
      </c>
      <c r="I33" s="4" t="str">
        <f>HYPERLINK("https://www.wiruauto.ee/","link")</f>
        <v>link</v>
      </c>
      <c r="J33" t="s">
        <v>43</v>
      </c>
      <c r="K33" t="s">
        <v>320</v>
      </c>
      <c r="L33" t="s">
        <v>321</v>
      </c>
      <c r="M33" s="4" t="str">
        <f>HYPERLINK("https://ssb.ee/10771359-ID/meedia-arvamuslood","link")</f>
        <v>link</v>
      </c>
      <c r="N33" t="s">
        <v>322</v>
      </c>
      <c r="O33" s="5">
        <v>37073</v>
      </c>
      <c r="P33" t="s">
        <v>47</v>
      </c>
      <c r="Q33" s="6">
        <v>78300</v>
      </c>
      <c r="R33">
        <v>2021</v>
      </c>
      <c r="S33" s="7" t="s">
        <v>47</v>
      </c>
      <c r="T33" s="7" t="s">
        <v>47</v>
      </c>
      <c r="U33" s="7" t="s">
        <v>47</v>
      </c>
      <c r="V33">
        <v>0.01</v>
      </c>
      <c r="W33" s="8" t="s">
        <v>48</v>
      </c>
      <c r="X33" t="s">
        <v>49</v>
      </c>
      <c r="Y33" s="4" t="str">
        <f>HYPERLINK("https://ssb.ee/10771359-ID/kohustused-volad-kohtulahendid","link")</f>
        <v>link</v>
      </c>
      <c r="Z33">
        <v>4290</v>
      </c>
      <c r="AA33" s="4" t="str">
        <f>HYPERLINK("https://ssb.ee/10771359-ID/finantsid-varad-prognoosid","link")</f>
        <v>link</v>
      </c>
      <c r="AB33" s="6">
        <v>64967</v>
      </c>
      <c r="AC33" s="6">
        <v>41541</v>
      </c>
      <c r="AD33" s="6">
        <v>1067446</v>
      </c>
      <c r="AE33">
        <v>18</v>
      </c>
      <c r="AF33" s="6">
        <v>3499358</v>
      </c>
      <c r="AG33" s="6">
        <v>1540</v>
      </c>
      <c r="AH33" s="4" t="str">
        <f>HYPERLINK("https://ssb.ee/10771359-ID/tootajad-palgad","link")</f>
        <v>link</v>
      </c>
      <c r="AI33" t="s">
        <v>323</v>
      </c>
      <c r="AJ33">
        <v>0.01</v>
      </c>
      <c r="AK33" s="8" t="s">
        <v>48</v>
      </c>
      <c r="AL33" s="4" t="str">
        <f>HYPERLINK("https://ssb.ee/juhatuse-liikme-cv?id=271550","link")</f>
        <v>link</v>
      </c>
    </row>
    <row r="34" spans="1:38" x14ac:dyDescent="0.25">
      <c r="A34">
        <v>10221021</v>
      </c>
      <c r="B34" t="s">
        <v>324</v>
      </c>
      <c r="C34" s="3">
        <v>35598</v>
      </c>
      <c r="D34" t="s">
        <v>39</v>
      </c>
      <c r="E34" t="s">
        <v>325</v>
      </c>
      <c r="F34" s="4" t="str">
        <f>HYPERLINK("https://ssb.ee/10221021-ID/otsustajad-kasusaajad","link")</f>
        <v>link</v>
      </c>
      <c r="G34" t="s">
        <v>326</v>
      </c>
      <c r="H34" t="s">
        <v>327</v>
      </c>
      <c r="I34" s="4" t="str">
        <f>HYPERLINK("http://whirlpool.com ","link")</f>
        <v>link</v>
      </c>
      <c r="J34" t="s">
        <v>43</v>
      </c>
      <c r="K34" t="s">
        <v>328</v>
      </c>
      <c r="L34" t="s">
        <v>290</v>
      </c>
      <c r="M34" s="4" t="str">
        <f>HYPERLINK("https://ssb.ee/10221021-ID/meedia-arvamuslood","link")</f>
        <v>link</v>
      </c>
      <c r="N34" t="s">
        <v>329</v>
      </c>
      <c r="O34" s="5">
        <v>35704</v>
      </c>
      <c r="P34" t="s">
        <v>47</v>
      </c>
      <c r="Q34" s="6">
        <v>100000</v>
      </c>
      <c r="R34">
        <v>2021</v>
      </c>
      <c r="S34" s="7" t="s">
        <v>47</v>
      </c>
      <c r="T34" s="7" t="s">
        <v>47</v>
      </c>
      <c r="U34" s="7" t="s">
        <v>47</v>
      </c>
      <c r="V34">
        <v>0.01</v>
      </c>
      <c r="W34" s="8" t="s">
        <v>48</v>
      </c>
      <c r="X34" t="s">
        <v>49</v>
      </c>
      <c r="Y34" s="4" t="str">
        <f>HYPERLINK("https://ssb.ee/10221021-ID/kohustused-volad-kohtulahendid","link")</f>
        <v>link</v>
      </c>
      <c r="Z34">
        <v>7100</v>
      </c>
      <c r="AA34" s="4" t="str">
        <f>HYPERLINK("https://ssb.ee/10221021-ID/finantsid-varad-prognoosid","link")</f>
        <v>link</v>
      </c>
      <c r="AB34" s="6">
        <v>620091</v>
      </c>
      <c r="AC34" s="6">
        <v>166373</v>
      </c>
      <c r="AD34" s="6">
        <v>4558681</v>
      </c>
      <c r="AE34">
        <v>4</v>
      </c>
      <c r="AF34" s="6">
        <v>8669822</v>
      </c>
      <c r="AG34" s="6">
        <v>24470</v>
      </c>
      <c r="AH34" s="4" t="str">
        <f>HYPERLINK("https://ssb.ee/10221021-ID/tootajad-palgad","link")</f>
        <v>link</v>
      </c>
      <c r="AI34" t="s">
        <v>330</v>
      </c>
      <c r="AJ34">
        <v>0.01</v>
      </c>
      <c r="AK34" s="8" t="s">
        <v>48</v>
      </c>
      <c r="AL34" s="4" t="str">
        <f>HYPERLINK("https://ssb.ee/juhatuse-liikme-cv?id=2171578","link")</f>
        <v>link</v>
      </c>
    </row>
    <row r="35" spans="1:38" x14ac:dyDescent="0.25">
      <c r="A35">
        <v>10088763</v>
      </c>
      <c r="B35" t="s">
        <v>331</v>
      </c>
      <c r="C35" s="3">
        <v>34820</v>
      </c>
      <c r="D35" t="s">
        <v>39</v>
      </c>
      <c r="E35" t="s">
        <v>332</v>
      </c>
      <c r="F35" s="4" t="str">
        <f>HYPERLINK("https://ssb.ee/10088763-ID/otsustajad-kasusaajad","link")</f>
        <v>link</v>
      </c>
      <c r="G35" t="s">
        <v>333</v>
      </c>
      <c r="H35" t="s">
        <v>334</v>
      </c>
      <c r="I35" s="4" t="str">
        <f>HYPERLINK("https://alistron.ee/","link")</f>
        <v>link</v>
      </c>
      <c r="J35" t="s">
        <v>90</v>
      </c>
      <c r="K35" t="s">
        <v>335</v>
      </c>
      <c r="L35" t="s">
        <v>336</v>
      </c>
      <c r="M35" s="4" t="str">
        <f>HYPERLINK("https://ssb.ee/10088763-ID/meedia-arvamuslood","link")</f>
        <v>link</v>
      </c>
      <c r="N35" t="s">
        <v>337</v>
      </c>
      <c r="O35" s="5">
        <v>34820</v>
      </c>
      <c r="P35" t="s">
        <v>47</v>
      </c>
      <c r="Q35" s="6">
        <v>92700</v>
      </c>
      <c r="R35">
        <v>2021</v>
      </c>
      <c r="S35" s="7" t="s">
        <v>47</v>
      </c>
      <c r="T35" s="7" t="s">
        <v>47</v>
      </c>
      <c r="U35" s="7" t="s">
        <v>47</v>
      </c>
      <c r="V35">
        <v>0.01</v>
      </c>
      <c r="W35" s="8" t="s">
        <v>48</v>
      </c>
      <c r="X35" t="s">
        <v>49</v>
      </c>
      <c r="Y35" s="4" t="str">
        <f>HYPERLINK("https://ssb.ee/10088763-ID/kohustused-volad-kohtulahendid","link")</f>
        <v>link</v>
      </c>
      <c r="Z35">
        <v>4850</v>
      </c>
      <c r="AA35" s="4" t="str">
        <f>HYPERLINK("https://ssb.ee/10088763-ID/finantsid-varad-prognoosid","link")</f>
        <v>link</v>
      </c>
      <c r="AB35" s="6">
        <v>72374</v>
      </c>
      <c r="AC35" s="6">
        <v>76791</v>
      </c>
      <c r="AD35" s="6">
        <v>1241241</v>
      </c>
      <c r="AE35">
        <v>28</v>
      </c>
      <c r="AF35" s="6">
        <v>4214548</v>
      </c>
      <c r="AG35" s="6">
        <v>1690</v>
      </c>
      <c r="AH35" s="4" t="str">
        <f>HYPERLINK("https://ssb.ee/10088763-ID/tootajad-palgad","link")</f>
        <v>link</v>
      </c>
      <c r="AI35" t="s">
        <v>338</v>
      </c>
      <c r="AJ35">
        <v>7.0000000000000001E-3</v>
      </c>
      <c r="AK35" s="8" t="s">
        <v>48</v>
      </c>
      <c r="AL35" s="4" t="str">
        <f>HYPERLINK("https://ssb.ee/juhatuse-liikme-cv?id=293244","link")</f>
        <v>link</v>
      </c>
    </row>
    <row r="36" spans="1:38" x14ac:dyDescent="0.25">
      <c r="A36">
        <v>12514106</v>
      </c>
      <c r="B36" t="s">
        <v>339</v>
      </c>
      <c r="C36" s="3">
        <v>41487</v>
      </c>
      <c r="D36" t="s">
        <v>39</v>
      </c>
      <c r="E36" t="s">
        <v>340</v>
      </c>
      <c r="F36" s="4" t="str">
        <f>HYPERLINK("https://ssb.ee/12514106-ID/otsustajad-kasusaajad","link")</f>
        <v>link</v>
      </c>
      <c r="G36" t="s">
        <v>341</v>
      </c>
      <c r="H36" t="s">
        <v>342</v>
      </c>
      <c r="I36" s="4" t="str">
        <f>HYPERLINK("https://insly.com/en/","link")</f>
        <v>link</v>
      </c>
      <c r="J36" t="s">
        <v>112</v>
      </c>
      <c r="K36" t="s">
        <v>343</v>
      </c>
      <c r="L36" t="s">
        <v>344</v>
      </c>
      <c r="M36" s="4" t="str">
        <f>HYPERLINK("https://ssb.ee/12514106-ID/meedia-arvamuslood","link")</f>
        <v>link</v>
      </c>
      <c r="N36" t="s">
        <v>345</v>
      </c>
      <c r="O36" s="5">
        <v>41548</v>
      </c>
      <c r="P36" t="s">
        <v>47</v>
      </c>
      <c r="Q36" s="6">
        <v>90800</v>
      </c>
      <c r="R36">
        <v>2020</v>
      </c>
      <c r="S36" s="7" t="s">
        <v>47</v>
      </c>
      <c r="T36" s="7" t="s">
        <v>47</v>
      </c>
      <c r="U36" s="7" t="s">
        <v>47</v>
      </c>
      <c r="V36">
        <v>0.01</v>
      </c>
      <c r="W36" s="8" t="s">
        <v>48</v>
      </c>
      <c r="X36" t="s">
        <v>49</v>
      </c>
      <c r="Y36" s="4" t="str">
        <f>HYPERLINK("https://ssb.ee/12514106-ID/kohustused-volad-kohtulahendid","link")</f>
        <v>link</v>
      </c>
      <c r="Z36">
        <v>3470</v>
      </c>
      <c r="AA36" s="4" t="str">
        <f>HYPERLINK("https://ssb.ee/12514106-ID/finantsid-varad-prognoosid","link")</f>
        <v>link</v>
      </c>
      <c r="AB36" s="6">
        <v>212720</v>
      </c>
      <c r="AC36" s="6">
        <v>177956</v>
      </c>
      <c r="AD36" s="6">
        <v>971165</v>
      </c>
      <c r="AE36">
        <v>42</v>
      </c>
      <c r="AF36" s="6">
        <v>2030484</v>
      </c>
      <c r="AG36" s="6">
        <v>2530</v>
      </c>
      <c r="AH36" s="4" t="str">
        <f>HYPERLINK("https://ssb.ee/12514106-ID/tootajad-palgad","link")</f>
        <v>link</v>
      </c>
      <c r="AI36" t="s">
        <v>346</v>
      </c>
      <c r="AJ36">
        <v>0.23100000000000001</v>
      </c>
      <c r="AK36" s="9" t="s">
        <v>51</v>
      </c>
      <c r="AL36" s="4" t="str">
        <f>HYPERLINK("https://ssb.ee/juhatuse-liikme-cv?id=292632","link")</f>
        <v>link</v>
      </c>
    </row>
    <row r="37" spans="1:38" x14ac:dyDescent="0.25">
      <c r="A37">
        <v>10217746</v>
      </c>
      <c r="B37" t="s">
        <v>347</v>
      </c>
      <c r="C37" s="3">
        <v>35580</v>
      </c>
      <c r="D37" t="s">
        <v>39</v>
      </c>
      <c r="E37" t="s">
        <v>348</v>
      </c>
      <c r="F37" s="4" t="str">
        <f>HYPERLINK("https://ssb.ee/10217746-ID/otsustajad-kasusaajad","link")</f>
        <v>link</v>
      </c>
      <c r="G37" t="s">
        <v>349</v>
      </c>
      <c r="H37" t="s">
        <v>350</v>
      </c>
      <c r="I37" s="4" t="str">
        <f>HYPERLINK("https://trefnord.ee/","link")</f>
        <v>link</v>
      </c>
      <c r="J37" t="s">
        <v>351</v>
      </c>
      <c r="K37" t="s">
        <v>352</v>
      </c>
      <c r="L37" t="s">
        <v>353</v>
      </c>
      <c r="M37" s="4" t="str">
        <f>HYPERLINK("https://ssb.ee/10217746-ID/meedia-arvamuslood","link")</f>
        <v>link</v>
      </c>
      <c r="N37" t="s">
        <v>354</v>
      </c>
      <c r="O37" s="5">
        <v>35612</v>
      </c>
      <c r="P37" t="s">
        <v>47</v>
      </c>
      <c r="Q37" s="6">
        <v>100000</v>
      </c>
      <c r="R37">
        <v>2021</v>
      </c>
      <c r="S37" s="7" t="s">
        <v>47</v>
      </c>
      <c r="T37" s="7" t="s">
        <v>47</v>
      </c>
      <c r="U37" s="7" t="s">
        <v>47</v>
      </c>
      <c r="V37">
        <v>0.01</v>
      </c>
      <c r="W37" s="8" t="s">
        <v>48</v>
      </c>
      <c r="X37" t="s">
        <v>49</v>
      </c>
      <c r="Y37" s="4" t="str">
        <f>HYPERLINK("https://ssb.ee/10217746-ID/kohustused-volad-kohtulahendid","link")</f>
        <v>link</v>
      </c>
      <c r="Z37">
        <v>18200</v>
      </c>
      <c r="AA37" s="4" t="str">
        <f>HYPERLINK("https://ssb.ee/10217746-ID/finantsid-varad-prognoosid","link")</f>
        <v>link</v>
      </c>
      <c r="AB37" s="6">
        <v>352393</v>
      </c>
      <c r="AC37" s="6">
        <v>448958</v>
      </c>
      <c r="AD37" s="6">
        <v>5775039</v>
      </c>
      <c r="AE37">
        <v>127</v>
      </c>
      <c r="AF37" s="6">
        <v>23152073</v>
      </c>
      <c r="AG37" s="6">
        <v>2140</v>
      </c>
      <c r="AH37" s="4" t="str">
        <f>HYPERLINK("https://ssb.ee/10217746-ID/tootajad-palgad","link")</f>
        <v>link</v>
      </c>
      <c r="AI37" t="s">
        <v>355</v>
      </c>
      <c r="AJ37">
        <v>0.01</v>
      </c>
      <c r="AK37" s="8" t="s">
        <v>48</v>
      </c>
      <c r="AL37" s="4" t="str">
        <f>HYPERLINK("https://ssb.ee/juhatuse-liikme-cv?id=277891","link")</f>
        <v>link</v>
      </c>
    </row>
    <row r="38" spans="1:38" x14ac:dyDescent="0.25">
      <c r="A38">
        <v>14735656</v>
      </c>
      <c r="B38" t="s">
        <v>356</v>
      </c>
      <c r="C38" s="3">
        <v>43619</v>
      </c>
      <c r="D38" t="s">
        <v>39</v>
      </c>
      <c r="E38" t="s">
        <v>357</v>
      </c>
      <c r="F38" s="4" t="str">
        <f>HYPERLINK("https://ssb.ee/14735656-ID/otsustajad-kasusaajad","link")</f>
        <v>link</v>
      </c>
      <c r="G38" t="s">
        <v>358</v>
      </c>
      <c r="H38" t="s">
        <v>359</v>
      </c>
      <c r="I38" s="4" t="str">
        <f>HYPERLINK("https://tmhambaravi.ee/","link")</f>
        <v>link</v>
      </c>
      <c r="J38" t="s">
        <v>143</v>
      </c>
      <c r="K38" t="s">
        <v>360</v>
      </c>
      <c r="L38" t="s">
        <v>361</v>
      </c>
      <c r="M38" s="4" t="str">
        <f>HYPERLINK("https://ssb.ee/14735656-ID/meedia-arvamuslood","link")</f>
        <v>link</v>
      </c>
      <c r="N38" t="s">
        <v>47</v>
      </c>
      <c r="O38" t="s">
        <v>47</v>
      </c>
      <c r="P38" t="s">
        <v>47</v>
      </c>
      <c r="Q38" s="6">
        <v>11900</v>
      </c>
      <c r="R38">
        <v>2021</v>
      </c>
      <c r="S38" s="7" t="s">
        <v>47</v>
      </c>
      <c r="T38" s="7" t="s">
        <v>47</v>
      </c>
      <c r="U38" s="7" t="s">
        <v>47</v>
      </c>
      <c r="V38">
        <v>9.6000000000000002E-2</v>
      </c>
      <c r="W38" s="8" t="s">
        <v>48</v>
      </c>
      <c r="X38" t="s">
        <v>49</v>
      </c>
      <c r="Y38" s="4" t="str">
        <f>HYPERLINK("https://ssb.ee/14735656-ID/kohustused-volad-kohtulahendid","link")</f>
        <v>link</v>
      </c>
      <c r="Z38">
        <v>2310</v>
      </c>
      <c r="AA38" s="4" t="str">
        <f>HYPERLINK("https://ssb.ee/14735656-ID/finantsid-varad-prognoosid","link")</f>
        <v>link</v>
      </c>
      <c r="AB38" s="6">
        <v>86049</v>
      </c>
      <c r="AC38" s="6">
        <v>92434</v>
      </c>
      <c r="AD38" s="6" t="s">
        <v>47</v>
      </c>
      <c r="AE38">
        <v>28</v>
      </c>
      <c r="AF38" s="6">
        <v>1556170</v>
      </c>
      <c r="AG38" s="6">
        <v>1995</v>
      </c>
      <c r="AH38" s="4" t="str">
        <f>HYPERLINK("https://ssb.ee/14735656-ID/tootajad-palgad","link")</f>
        <v>link</v>
      </c>
      <c r="AI38" t="s">
        <v>362</v>
      </c>
      <c r="AJ38">
        <v>0.04</v>
      </c>
      <c r="AK38" s="8" t="s">
        <v>48</v>
      </c>
      <c r="AL38" s="4" t="str">
        <f>HYPERLINK("https://ssb.ee/juhatuse-liikme-cv?id=1237522","link")</f>
        <v>link</v>
      </c>
    </row>
    <row r="39" spans="1:38" x14ac:dyDescent="0.25">
      <c r="A39">
        <v>14261000</v>
      </c>
      <c r="B39" t="s">
        <v>363</v>
      </c>
      <c r="C39" s="3">
        <v>42872</v>
      </c>
      <c r="D39" t="s">
        <v>39</v>
      </c>
      <c r="E39" t="s">
        <v>282</v>
      </c>
      <c r="F39" s="4" t="str">
        <f>HYPERLINK("https://ssb.ee/14261000-ID/otsustajad-kasusaajad","link")</f>
        <v>link</v>
      </c>
      <c r="G39" t="s">
        <v>364</v>
      </c>
      <c r="H39" t="s">
        <v>365</v>
      </c>
      <c r="I39" s="4" t="str">
        <f>HYPERLINK("http://yudhd.eu","link")</f>
        <v>link</v>
      </c>
      <c r="J39" t="s">
        <v>43</v>
      </c>
      <c r="K39" t="s">
        <v>115</v>
      </c>
      <c r="L39" t="s">
        <v>116</v>
      </c>
      <c r="M39" s="4" t="str">
        <f>HYPERLINK("https://ssb.ee/14261000-ID/meedia-arvamuslood","link")</f>
        <v>link</v>
      </c>
      <c r="N39" t="s">
        <v>366</v>
      </c>
      <c r="O39" s="5">
        <v>42898</v>
      </c>
      <c r="P39" t="s">
        <v>47</v>
      </c>
      <c r="Q39" s="6">
        <v>82500</v>
      </c>
      <c r="R39">
        <v>2021</v>
      </c>
      <c r="S39" s="7" t="s">
        <v>47</v>
      </c>
      <c r="T39" s="7" t="s">
        <v>47</v>
      </c>
      <c r="U39" s="7" t="s">
        <v>47</v>
      </c>
      <c r="V39">
        <v>6.4000000000000001E-2</v>
      </c>
      <c r="W39" s="8" t="s">
        <v>48</v>
      </c>
      <c r="X39" t="s">
        <v>49</v>
      </c>
      <c r="Y39" s="4" t="str">
        <f>HYPERLINK("https://ssb.ee/14261000-ID/kohustused-volad-kohtulahendid","link")</f>
        <v>link</v>
      </c>
      <c r="Z39">
        <v>2650</v>
      </c>
      <c r="AA39" s="4" t="str">
        <f>HYPERLINK("https://ssb.ee/14261000-ID/finantsid-varad-prognoosid","link")</f>
        <v>link</v>
      </c>
      <c r="AB39" s="6">
        <v>5196</v>
      </c>
      <c r="AC39" s="6">
        <v>5153</v>
      </c>
      <c r="AD39" s="6">
        <v>1227559</v>
      </c>
      <c r="AE39">
        <v>1</v>
      </c>
      <c r="AF39" s="6">
        <v>2882737</v>
      </c>
      <c r="AG39" s="6">
        <v>3050</v>
      </c>
      <c r="AH39" s="4" t="str">
        <f>HYPERLINK("https://ssb.ee/14261000-ID/tootajad-palgad","link")</f>
        <v>link</v>
      </c>
      <c r="AI39" t="s">
        <v>367</v>
      </c>
      <c r="AJ39">
        <v>9.1999999999999998E-2</v>
      </c>
      <c r="AK39" s="8" t="s">
        <v>48</v>
      </c>
      <c r="AL39" s="4" t="str">
        <f>HYPERLINK("https://ssb.ee/juhatuse-liikme-cv?id=1041106","link")</f>
        <v>link</v>
      </c>
    </row>
    <row r="40" spans="1:38" x14ac:dyDescent="0.25">
      <c r="A40">
        <v>10576652</v>
      </c>
      <c r="B40" t="s">
        <v>368</v>
      </c>
      <c r="C40" s="3">
        <v>36432</v>
      </c>
      <c r="D40" t="s">
        <v>39</v>
      </c>
      <c r="E40" t="s">
        <v>369</v>
      </c>
      <c r="F40" s="4" t="str">
        <f>HYPERLINK("https://ssb.ee/10576652-ID/otsustajad-kasusaajad","link")</f>
        <v>link</v>
      </c>
      <c r="G40" t="s">
        <v>370</v>
      </c>
      <c r="H40" t="s">
        <v>371</v>
      </c>
      <c r="I40" s="4" t="str">
        <f>HYPERLINK("http://netsystems.ee","link")</f>
        <v>link</v>
      </c>
      <c r="J40" t="s">
        <v>201</v>
      </c>
      <c r="K40" t="s">
        <v>372</v>
      </c>
      <c r="L40" t="s">
        <v>373</v>
      </c>
      <c r="M40" s="4" t="str">
        <f>HYPERLINK("https://ssb.ee/10576652-ID/meedia-arvamuslood","link")</f>
        <v>link</v>
      </c>
      <c r="N40" t="s">
        <v>374</v>
      </c>
      <c r="O40" s="5">
        <v>36434</v>
      </c>
      <c r="P40" t="s">
        <v>47</v>
      </c>
      <c r="Q40" s="6">
        <v>4100</v>
      </c>
      <c r="R40">
        <v>2021</v>
      </c>
      <c r="S40" s="7" t="s">
        <v>47</v>
      </c>
      <c r="T40" s="7" t="s">
        <v>47</v>
      </c>
      <c r="U40" s="7" t="s">
        <v>47</v>
      </c>
      <c r="V40">
        <v>0.01</v>
      </c>
      <c r="W40" s="8" t="s">
        <v>48</v>
      </c>
      <c r="X40" t="s">
        <v>49</v>
      </c>
      <c r="Y40" s="4" t="str">
        <f>HYPERLINK("https://ssb.ee/10576652-ID/kohustused-volad-kohtulahendid","link")</f>
        <v>link</v>
      </c>
      <c r="Z40">
        <v>4170</v>
      </c>
      <c r="AA40" s="4" t="str">
        <f>HYPERLINK("https://ssb.ee/10576652-ID/finantsid-varad-prognoosid","link")</f>
        <v>link</v>
      </c>
      <c r="AB40" s="6">
        <v>10782</v>
      </c>
      <c r="AC40" s="6">
        <v>4760</v>
      </c>
      <c r="AD40" s="6">
        <v>46112</v>
      </c>
      <c r="AE40" t="s">
        <v>47</v>
      </c>
      <c r="AF40" s="6">
        <v>206870</v>
      </c>
      <c r="AG40" s="6" t="s">
        <v>47</v>
      </c>
      <c r="AH40" s="4" t="str">
        <f>HYPERLINK("https://ssb.ee/10576652-ID/tootajad-palgad","link")</f>
        <v>link</v>
      </c>
      <c r="AI40" t="s">
        <v>375</v>
      </c>
      <c r="AJ40">
        <v>0.11</v>
      </c>
      <c r="AK40" s="8" t="s">
        <v>48</v>
      </c>
      <c r="AL40" s="4" t="str">
        <f>HYPERLINK("https://ssb.ee/juhatuse-liikme-cv?id=288131","link")</f>
        <v>link</v>
      </c>
    </row>
    <row r="41" spans="1:38" x14ac:dyDescent="0.25">
      <c r="A41">
        <v>11501857</v>
      </c>
      <c r="B41" t="s">
        <v>376</v>
      </c>
      <c r="C41" s="3">
        <v>39566</v>
      </c>
      <c r="D41" t="s">
        <v>39</v>
      </c>
      <c r="E41" t="s">
        <v>377</v>
      </c>
      <c r="F41" s="4" t="str">
        <f>HYPERLINK("https://ssb.ee/11501857-ID/otsustajad-kasusaajad","link")</f>
        <v>link</v>
      </c>
      <c r="G41" t="s">
        <v>378</v>
      </c>
      <c r="H41" t="s">
        <v>47</v>
      </c>
      <c r="I41" s="4" t="str">
        <f>HYPERLINK("http://credy.com","link")</f>
        <v>link</v>
      </c>
      <c r="J41" t="s">
        <v>201</v>
      </c>
      <c r="K41" t="s">
        <v>379</v>
      </c>
      <c r="L41" t="s">
        <v>380</v>
      </c>
      <c r="M41" s="4" t="str">
        <f>HYPERLINK("https://ssb.ee/11501857-ID/meedia-arvamuslood","link")</f>
        <v>link</v>
      </c>
      <c r="N41" t="s">
        <v>381</v>
      </c>
      <c r="O41" s="5">
        <v>42066</v>
      </c>
      <c r="P41" t="s">
        <v>47</v>
      </c>
      <c r="Q41" s="6">
        <v>100000</v>
      </c>
      <c r="R41">
        <v>2021</v>
      </c>
      <c r="S41" s="7" t="s">
        <v>47</v>
      </c>
      <c r="T41" s="7" t="s">
        <v>47</v>
      </c>
      <c r="U41" s="7" t="s">
        <v>47</v>
      </c>
      <c r="V41">
        <v>0.01</v>
      </c>
      <c r="W41" s="8" t="s">
        <v>48</v>
      </c>
      <c r="X41" t="s">
        <v>49</v>
      </c>
      <c r="Y41" s="4" t="str">
        <f>HYPERLINK("https://ssb.ee/11501857-ID/kohustused-volad-kohtulahendid","link")</f>
        <v>link</v>
      </c>
      <c r="Z41">
        <v>3620</v>
      </c>
      <c r="AA41" s="4" t="str">
        <f>HYPERLINK("https://ssb.ee/11501857-ID/finantsid-varad-prognoosid","link")</f>
        <v>link</v>
      </c>
      <c r="AB41" s="6">
        <v>85086</v>
      </c>
      <c r="AC41" s="6">
        <v>63538</v>
      </c>
      <c r="AD41" s="6">
        <v>1714603</v>
      </c>
      <c r="AE41">
        <v>12</v>
      </c>
      <c r="AF41" s="6">
        <v>5604765</v>
      </c>
      <c r="AG41" s="6">
        <v>3115</v>
      </c>
      <c r="AH41" s="4" t="str">
        <f>HYPERLINK("https://ssb.ee/11501857-ID/tootajad-palgad","link")</f>
        <v>link</v>
      </c>
      <c r="AI41" t="s">
        <v>382</v>
      </c>
      <c r="AJ41">
        <v>8.3000000000000004E-2</v>
      </c>
      <c r="AK41" s="8" t="s">
        <v>48</v>
      </c>
      <c r="AL41" s="4" t="str">
        <f>HYPERLINK("https://ssb.ee/juhatuse-liikme-cv?id=432381","link")</f>
        <v>link</v>
      </c>
    </row>
    <row r="42" spans="1:38" x14ac:dyDescent="0.25">
      <c r="A42">
        <v>10571028</v>
      </c>
      <c r="B42" t="s">
        <v>383</v>
      </c>
      <c r="C42" s="3">
        <v>36367</v>
      </c>
      <c r="D42" t="s">
        <v>39</v>
      </c>
      <c r="E42" t="s">
        <v>384</v>
      </c>
      <c r="F42" s="4" t="str">
        <f>HYPERLINK("https://ssb.ee/10571028-ID/otsustajad-kasusaajad","link")</f>
        <v>link</v>
      </c>
      <c r="G42" t="s">
        <v>385</v>
      </c>
      <c r="H42" t="s">
        <v>386</v>
      </c>
      <c r="I42" s="4" t="str">
        <f>HYPERLINK("http://revala.com","link")</f>
        <v>link</v>
      </c>
      <c r="J42" t="s">
        <v>43</v>
      </c>
      <c r="K42" t="s">
        <v>172</v>
      </c>
      <c r="L42" t="s">
        <v>173</v>
      </c>
      <c r="M42" s="4" t="str">
        <f>HYPERLINK("https://ssb.ee/10571028-ID/meedia-arvamuslood","link")</f>
        <v>link</v>
      </c>
      <c r="N42" t="s">
        <v>387</v>
      </c>
      <c r="O42" s="5">
        <v>36434</v>
      </c>
      <c r="P42" t="s">
        <v>47</v>
      </c>
      <c r="Q42" s="6">
        <v>47900</v>
      </c>
      <c r="R42">
        <v>2021</v>
      </c>
      <c r="S42" s="7" t="s">
        <v>47</v>
      </c>
      <c r="T42" s="7" t="s">
        <v>47</v>
      </c>
      <c r="U42" s="7" t="s">
        <v>47</v>
      </c>
      <c r="V42">
        <v>0.01</v>
      </c>
      <c r="W42" s="8" t="s">
        <v>48</v>
      </c>
      <c r="X42" t="s">
        <v>49</v>
      </c>
      <c r="Y42" s="4" t="str">
        <f>HYPERLINK("https://ssb.ee/10571028-ID/kohustused-volad-kohtulahendid","link")</f>
        <v>link</v>
      </c>
      <c r="Z42">
        <v>3300</v>
      </c>
      <c r="AA42" s="4" t="str">
        <f>HYPERLINK("https://ssb.ee/10571028-ID/finantsid-varad-prognoosid","link")</f>
        <v>link</v>
      </c>
      <c r="AB42" s="6">
        <v>11193</v>
      </c>
      <c r="AC42" s="6">
        <v>6214</v>
      </c>
      <c r="AD42" s="6">
        <v>700423</v>
      </c>
      <c r="AE42">
        <v>2</v>
      </c>
      <c r="AF42" s="6">
        <v>2315059</v>
      </c>
      <c r="AG42" s="6">
        <v>1920</v>
      </c>
      <c r="AH42" s="4" t="str">
        <f>HYPERLINK("https://ssb.ee/10571028-ID/tootajad-palgad","link")</f>
        <v>link</v>
      </c>
      <c r="AI42" t="s">
        <v>388</v>
      </c>
      <c r="AJ42">
        <v>1.0999999999999999E-2</v>
      </c>
      <c r="AK42" s="8" t="s">
        <v>48</v>
      </c>
      <c r="AL42" s="4" t="str">
        <f>HYPERLINK("https://ssb.ee/juhatuse-liikme-cv?id=287089","link")</f>
        <v>link</v>
      </c>
    </row>
    <row r="43" spans="1:38" x14ac:dyDescent="0.25">
      <c r="A43">
        <v>10356809</v>
      </c>
      <c r="B43" t="s">
        <v>389</v>
      </c>
      <c r="C43" s="3">
        <v>35786</v>
      </c>
      <c r="D43" t="s">
        <v>39</v>
      </c>
      <c r="E43" t="s">
        <v>390</v>
      </c>
      <c r="F43" s="4" t="str">
        <f>HYPERLINK("https://ssb.ee/10356809-ID/otsustajad-kasusaajad","link")</f>
        <v>link</v>
      </c>
      <c r="G43" t="s">
        <v>391</v>
      </c>
      <c r="H43" t="s">
        <v>392</v>
      </c>
      <c r="I43" s="4" t="str">
        <f>HYPERLINK("http://greenmotell.ee ","link")</f>
        <v>link</v>
      </c>
      <c r="J43" t="s">
        <v>90</v>
      </c>
      <c r="K43" t="s">
        <v>393</v>
      </c>
      <c r="L43" t="s">
        <v>394</v>
      </c>
      <c r="M43" s="4" t="str">
        <f>HYPERLINK("https://ssb.ee/10356809-ID/meedia-arvamuslood","link")</f>
        <v>link</v>
      </c>
      <c r="N43" t="s">
        <v>395</v>
      </c>
      <c r="O43" s="5">
        <v>34366</v>
      </c>
      <c r="P43" t="s">
        <v>47</v>
      </c>
      <c r="Q43" s="6">
        <v>4200</v>
      </c>
      <c r="R43">
        <v>2021</v>
      </c>
      <c r="S43" s="7" t="s">
        <v>47</v>
      </c>
      <c r="T43" s="7" t="s">
        <v>47</v>
      </c>
      <c r="U43" s="7" t="s">
        <v>47</v>
      </c>
      <c r="V43">
        <v>0.01</v>
      </c>
      <c r="W43" s="8" t="s">
        <v>48</v>
      </c>
      <c r="X43" t="s">
        <v>49</v>
      </c>
      <c r="Y43" s="4" t="str">
        <f>HYPERLINK("https://ssb.ee/10356809-ID/kohustused-volad-kohtulahendid","link")</f>
        <v>link</v>
      </c>
      <c r="Z43">
        <v>4470</v>
      </c>
      <c r="AA43" s="4" t="str">
        <f>HYPERLINK("https://ssb.ee/10356809-ID/finantsid-varad-prognoosid","link")</f>
        <v>link</v>
      </c>
      <c r="AB43" s="6">
        <v>8430</v>
      </c>
      <c r="AC43" s="6">
        <v>7209</v>
      </c>
      <c r="AD43" s="6">
        <v>46975</v>
      </c>
      <c r="AE43">
        <v>5</v>
      </c>
      <c r="AF43" s="6">
        <v>91258</v>
      </c>
      <c r="AG43" s="6">
        <v>1040</v>
      </c>
      <c r="AH43" s="4" t="str">
        <f>HYPERLINK("https://ssb.ee/10356809-ID/tootajad-palgad","link")</f>
        <v>link</v>
      </c>
      <c r="AI43" t="s">
        <v>396</v>
      </c>
      <c r="AJ43">
        <v>9.5000000000000001E-2</v>
      </c>
      <c r="AK43" s="8" t="s">
        <v>48</v>
      </c>
      <c r="AL43" s="4" t="str">
        <f>HYPERLINK("https://ssb.ee/juhatuse-liikme-cv?id=272660","link")</f>
        <v>link</v>
      </c>
    </row>
    <row r="44" spans="1:38" x14ac:dyDescent="0.25">
      <c r="A44">
        <v>11193203</v>
      </c>
      <c r="B44" t="s">
        <v>397</v>
      </c>
      <c r="C44" s="3">
        <v>38678</v>
      </c>
      <c r="D44" t="s">
        <v>39</v>
      </c>
      <c r="E44" t="s">
        <v>398</v>
      </c>
      <c r="F44" s="4" t="str">
        <f>HYPERLINK("https://ssb.ee/11193203-ID/otsustajad-kasusaajad","link")</f>
        <v>link</v>
      </c>
      <c r="G44" t="s">
        <v>399</v>
      </c>
      <c r="H44" t="s">
        <v>400</v>
      </c>
      <c r="I44" s="4" t="str">
        <f>HYPERLINK("http://masku.com ","link")</f>
        <v>link</v>
      </c>
      <c r="J44" t="s">
        <v>43</v>
      </c>
      <c r="K44" t="s">
        <v>401</v>
      </c>
      <c r="L44" t="s">
        <v>402</v>
      </c>
      <c r="M44" s="4" t="str">
        <f>HYPERLINK("https://ssb.ee/11193203-ID/meedia-arvamuslood","link")</f>
        <v>link</v>
      </c>
      <c r="N44" t="s">
        <v>403</v>
      </c>
      <c r="O44" s="5">
        <v>38678</v>
      </c>
      <c r="P44" t="s">
        <v>47</v>
      </c>
      <c r="Q44" s="6">
        <v>100000</v>
      </c>
      <c r="R44">
        <v>2021</v>
      </c>
      <c r="S44" s="7" t="s">
        <v>47</v>
      </c>
      <c r="T44" s="7" t="s">
        <v>47</v>
      </c>
      <c r="U44" s="7" t="s">
        <v>47</v>
      </c>
      <c r="V44">
        <v>0.01</v>
      </c>
      <c r="W44" s="8" t="s">
        <v>48</v>
      </c>
      <c r="X44" t="s">
        <v>49</v>
      </c>
      <c r="Y44" s="4" t="str">
        <f>HYPERLINK("https://ssb.ee/11193203-ID/kohustused-volad-kohtulahendid","link")</f>
        <v>link</v>
      </c>
      <c r="Z44">
        <v>5640</v>
      </c>
      <c r="AA44" s="4" t="str">
        <f>HYPERLINK("https://ssb.ee/11193203-ID/finantsid-varad-prognoosid","link")</f>
        <v>link</v>
      </c>
      <c r="AB44" s="6">
        <v>167109</v>
      </c>
      <c r="AC44" s="6">
        <v>77638</v>
      </c>
      <c r="AD44" s="6">
        <v>1887381</v>
      </c>
      <c r="AE44">
        <v>16</v>
      </c>
      <c r="AF44" s="6">
        <v>6858156</v>
      </c>
      <c r="AG44" s="6">
        <v>2855</v>
      </c>
      <c r="AH44" s="4" t="str">
        <f>HYPERLINK("https://ssb.ee/11193203-ID/tootajad-palgad","link")</f>
        <v>link</v>
      </c>
      <c r="AI44" t="s">
        <v>404</v>
      </c>
      <c r="AJ44">
        <v>0.01</v>
      </c>
      <c r="AK44" s="8" t="s">
        <v>48</v>
      </c>
      <c r="AL44" s="4" t="str">
        <f>HYPERLINK("https://ssb.ee/juhatuse-liikme-cv?id=2180499","link")</f>
        <v>link</v>
      </c>
    </row>
    <row r="45" spans="1:38" x14ac:dyDescent="0.25">
      <c r="A45">
        <v>12071991</v>
      </c>
      <c r="B45" t="s">
        <v>405</v>
      </c>
      <c r="C45" s="3">
        <v>40612</v>
      </c>
      <c r="D45" t="s">
        <v>39</v>
      </c>
      <c r="E45" t="s">
        <v>406</v>
      </c>
      <c r="F45" s="4" t="str">
        <f>HYPERLINK("https://ssb.ee/12071991-ID/otsustajad-kasusaajad","link")</f>
        <v>link</v>
      </c>
      <c r="G45" t="s">
        <v>407</v>
      </c>
      <c r="H45" t="s">
        <v>408</v>
      </c>
      <c r="I45" s="4" t="str">
        <f>HYPERLINK("https://smartcap.ee/","link")</f>
        <v>link</v>
      </c>
      <c r="J45" t="s">
        <v>62</v>
      </c>
      <c r="K45" t="s">
        <v>409</v>
      </c>
      <c r="L45" t="s">
        <v>410</v>
      </c>
      <c r="M45" s="4" t="str">
        <f>HYPERLINK("https://ssb.ee/12071991-ID/meedia-arvamuslood","link")</f>
        <v>link</v>
      </c>
      <c r="N45" t="s">
        <v>411</v>
      </c>
      <c r="O45" s="5">
        <v>41162</v>
      </c>
      <c r="P45" t="s">
        <v>47</v>
      </c>
      <c r="Q45" s="6">
        <v>8800</v>
      </c>
      <c r="R45">
        <v>2021</v>
      </c>
      <c r="S45" s="7" t="s">
        <v>47</v>
      </c>
      <c r="T45" s="7" t="s">
        <v>47</v>
      </c>
      <c r="U45" s="7" t="s">
        <v>47</v>
      </c>
      <c r="V45">
        <v>0.01</v>
      </c>
      <c r="W45" s="8" t="s">
        <v>48</v>
      </c>
      <c r="X45" t="s">
        <v>49</v>
      </c>
      <c r="Y45" s="4" t="str">
        <f>HYPERLINK("https://ssb.ee/12071991-ID/kohustused-volad-kohtulahendid","link")</f>
        <v>link</v>
      </c>
      <c r="Z45">
        <v>5300</v>
      </c>
      <c r="AA45" s="4" t="str">
        <f>HYPERLINK("https://ssb.ee/12071991-ID/finantsid-varad-prognoosid","link")</f>
        <v>link</v>
      </c>
      <c r="AB45" s="6">
        <v>60564</v>
      </c>
      <c r="AC45" s="6">
        <v>62318</v>
      </c>
      <c r="AD45" s="6">
        <v>9296</v>
      </c>
      <c r="AE45">
        <v>5</v>
      </c>
      <c r="AF45" s="6">
        <v>1166380</v>
      </c>
      <c r="AG45" s="6">
        <v>7320</v>
      </c>
      <c r="AH45" s="4" t="str">
        <f>HYPERLINK("https://ssb.ee/12071991-ID/tootajad-palgad","link")</f>
        <v>link</v>
      </c>
      <c r="AI45" t="s">
        <v>412</v>
      </c>
      <c r="AJ45">
        <v>0.29299999999999998</v>
      </c>
      <c r="AK45" s="9" t="s">
        <v>51</v>
      </c>
      <c r="AL45" s="4" t="str">
        <f>HYPERLINK("https://ssb.ee/juhatuse-liikme-cv?id=285930","link")</f>
        <v>link</v>
      </c>
    </row>
    <row r="46" spans="1:38" x14ac:dyDescent="0.25">
      <c r="A46">
        <v>10476666</v>
      </c>
      <c r="B46" t="s">
        <v>413</v>
      </c>
      <c r="C46" s="3">
        <v>37426</v>
      </c>
      <c r="D46" t="s">
        <v>39</v>
      </c>
      <c r="E46" t="s">
        <v>414</v>
      </c>
      <c r="F46" s="4" t="str">
        <f>HYPERLINK("https://ssb.ee/10476666-ID/otsustajad-kasusaajad","link")</f>
        <v>link</v>
      </c>
      <c r="G46" t="s">
        <v>415</v>
      </c>
      <c r="H46" t="s">
        <v>416</v>
      </c>
      <c r="I46" s="4" t="str">
        <f>HYPERLINK("https://mets.ee/ ","link")</f>
        <v>link</v>
      </c>
      <c r="J46" t="s">
        <v>155</v>
      </c>
      <c r="K46" t="s">
        <v>417</v>
      </c>
      <c r="L46" t="s">
        <v>418</v>
      </c>
      <c r="M46" s="4" t="str">
        <f>HYPERLINK("https://ssb.ee/10476666-ID/meedia-arvamuslood","link")</f>
        <v>link</v>
      </c>
      <c r="N46" t="s">
        <v>419</v>
      </c>
      <c r="O46" s="5">
        <v>36008</v>
      </c>
      <c r="P46" t="s">
        <v>47</v>
      </c>
      <c r="Q46" s="6">
        <v>23800</v>
      </c>
      <c r="R46">
        <v>2021</v>
      </c>
      <c r="S46" s="7" t="s">
        <v>47</v>
      </c>
      <c r="T46" s="7" t="s">
        <v>47</v>
      </c>
      <c r="U46" s="7" t="s">
        <v>47</v>
      </c>
      <c r="V46">
        <v>0.01</v>
      </c>
      <c r="W46" s="8" t="s">
        <v>48</v>
      </c>
      <c r="X46" t="s">
        <v>49</v>
      </c>
      <c r="Y46" s="4" t="str">
        <f>HYPERLINK("https://ssb.ee/10476666-ID/kohustused-volad-kohtulahendid","link")</f>
        <v>link</v>
      </c>
      <c r="Z46">
        <v>3600</v>
      </c>
      <c r="AA46" s="4" t="str">
        <f>HYPERLINK("https://ssb.ee/10476666-ID/finantsid-varad-prognoosid","link")</f>
        <v>link</v>
      </c>
      <c r="AB46" s="6">
        <v>23732</v>
      </c>
      <c r="AC46" s="6">
        <v>1579</v>
      </c>
      <c r="AD46" s="6">
        <v>331076</v>
      </c>
      <c r="AE46">
        <v>1</v>
      </c>
      <c r="AF46" s="6">
        <v>1901216</v>
      </c>
      <c r="AG46" s="6">
        <v>1170</v>
      </c>
      <c r="AH46" s="4" t="str">
        <f>HYPERLINK("https://ssb.ee/10476666-ID/tootajad-palgad","link")</f>
        <v>link</v>
      </c>
      <c r="AI46" t="s">
        <v>420</v>
      </c>
      <c r="AJ46">
        <v>0.11799999999999999</v>
      </c>
      <c r="AK46" s="8" t="s">
        <v>48</v>
      </c>
      <c r="AL46" s="4" t="str">
        <f>HYPERLINK("https://ssb.ee/juhatuse-liikme-cv?id=283911","link")</f>
        <v>link</v>
      </c>
    </row>
    <row r="47" spans="1:38" x14ac:dyDescent="0.25">
      <c r="A47">
        <v>12402347</v>
      </c>
      <c r="B47" t="s">
        <v>421</v>
      </c>
      <c r="C47" s="3">
        <v>41283</v>
      </c>
      <c r="D47" t="s">
        <v>39</v>
      </c>
      <c r="E47" t="s">
        <v>422</v>
      </c>
      <c r="F47" s="4" t="str">
        <f>HYPERLINK("https://ssb.ee/12402347-ID/otsustajad-kasusaajad","link")</f>
        <v>link</v>
      </c>
      <c r="G47" t="s">
        <v>423</v>
      </c>
      <c r="H47" t="s">
        <v>424</v>
      </c>
      <c r="I47" s="4" t="str">
        <f>HYPERLINK("http://estpos.ee","link")</f>
        <v>link</v>
      </c>
      <c r="J47" t="s">
        <v>112</v>
      </c>
      <c r="K47" t="s">
        <v>343</v>
      </c>
      <c r="L47" t="s">
        <v>344</v>
      </c>
      <c r="M47" s="4" t="str">
        <f>HYPERLINK("https://ssb.ee/12402347-ID/meedia-arvamuslood","link")</f>
        <v>link</v>
      </c>
      <c r="N47" t="s">
        <v>425</v>
      </c>
      <c r="O47" s="5">
        <v>41480</v>
      </c>
      <c r="P47" t="s">
        <v>47</v>
      </c>
      <c r="Q47" s="6">
        <v>27600</v>
      </c>
      <c r="R47">
        <v>2021</v>
      </c>
      <c r="S47" s="7" t="s">
        <v>47</v>
      </c>
      <c r="T47" s="7" t="s">
        <v>47</v>
      </c>
      <c r="U47" s="7" t="s">
        <v>47</v>
      </c>
      <c r="V47">
        <v>0.01</v>
      </c>
      <c r="W47" s="8" t="s">
        <v>48</v>
      </c>
      <c r="X47" t="s">
        <v>49</v>
      </c>
      <c r="Y47" s="4" t="str">
        <f>HYPERLINK("https://ssb.ee/12402347-ID/kohustused-volad-kohtulahendid","link")</f>
        <v>link</v>
      </c>
      <c r="Z47">
        <v>3570</v>
      </c>
      <c r="AA47" s="4" t="str">
        <f>HYPERLINK("https://ssb.ee/12402347-ID/finantsid-varad-prognoosid","link")</f>
        <v>link</v>
      </c>
      <c r="AB47" s="6">
        <v>87580</v>
      </c>
      <c r="AC47" s="6">
        <v>45357</v>
      </c>
      <c r="AD47" s="6">
        <v>281785</v>
      </c>
      <c r="AE47">
        <v>12</v>
      </c>
      <c r="AF47" s="6">
        <v>1016632</v>
      </c>
      <c r="AG47" s="6">
        <v>2270</v>
      </c>
      <c r="AH47" s="4" t="str">
        <f>HYPERLINK("https://ssb.ee/12402347-ID/tootajad-palgad","link")</f>
        <v>link</v>
      </c>
      <c r="AI47" t="s">
        <v>426</v>
      </c>
      <c r="AJ47">
        <v>0.01</v>
      </c>
      <c r="AK47" s="8" t="s">
        <v>48</v>
      </c>
      <c r="AL47" s="4" t="str">
        <f>HYPERLINK("https://ssb.ee/juhatuse-liikme-cv?id=443471","link")</f>
        <v>link</v>
      </c>
    </row>
    <row r="48" spans="1:38" x14ac:dyDescent="0.25">
      <c r="A48">
        <v>11306239</v>
      </c>
      <c r="B48" t="s">
        <v>427</v>
      </c>
      <c r="C48" s="3">
        <v>39001</v>
      </c>
      <c r="D48" t="s">
        <v>39</v>
      </c>
      <c r="E48" t="s">
        <v>428</v>
      </c>
      <c r="F48" s="4" t="str">
        <f>HYPERLINK("https://ssb.ee/11306239-ID/otsustajad-kasusaajad","link")</f>
        <v>link</v>
      </c>
      <c r="G48" t="s">
        <v>429</v>
      </c>
      <c r="H48" t="s">
        <v>430</v>
      </c>
      <c r="I48" s="4" t="str">
        <f>HYPERLINK("https://greenit.ee/","link")</f>
        <v>link</v>
      </c>
      <c r="J48" t="s">
        <v>43</v>
      </c>
      <c r="K48" t="s">
        <v>431</v>
      </c>
      <c r="L48" t="s">
        <v>432</v>
      </c>
      <c r="M48" s="4" t="str">
        <f>HYPERLINK("https://ssb.ee/11306239-ID/meedia-arvamuslood","link")</f>
        <v>link</v>
      </c>
      <c r="N48" t="s">
        <v>433</v>
      </c>
      <c r="O48" s="5">
        <v>39022</v>
      </c>
      <c r="P48" t="s">
        <v>47</v>
      </c>
      <c r="Q48" s="6">
        <v>100000</v>
      </c>
      <c r="R48">
        <v>2021</v>
      </c>
      <c r="S48" s="7" t="s">
        <v>47</v>
      </c>
      <c r="T48" s="7" t="s">
        <v>47</v>
      </c>
      <c r="U48" s="7" t="s">
        <v>47</v>
      </c>
      <c r="V48">
        <v>0.01</v>
      </c>
      <c r="W48" s="8" t="s">
        <v>48</v>
      </c>
      <c r="X48" t="s">
        <v>49</v>
      </c>
      <c r="Y48" s="4" t="str">
        <f>HYPERLINK("https://ssb.ee/11306239-ID/kohustused-volad-kohtulahendid","link")</f>
        <v>link</v>
      </c>
      <c r="Z48">
        <v>9680</v>
      </c>
      <c r="AA48" s="4" t="str">
        <f>HYPERLINK("https://ssb.ee/11306239-ID/finantsid-varad-prognoosid","link")</f>
        <v>link</v>
      </c>
      <c r="AB48" s="6">
        <v>872204</v>
      </c>
      <c r="AC48" s="6">
        <v>112052</v>
      </c>
      <c r="AD48" s="6">
        <v>7361919</v>
      </c>
      <c r="AE48">
        <v>15</v>
      </c>
      <c r="AF48" s="6">
        <v>23569401</v>
      </c>
      <c r="AG48" s="6">
        <v>4400</v>
      </c>
      <c r="AH48" s="4" t="str">
        <f>HYPERLINK("https://ssb.ee/11306239-ID/tootajad-palgad","link")</f>
        <v>link</v>
      </c>
      <c r="AI48" t="s">
        <v>434</v>
      </c>
      <c r="AJ48">
        <v>0.01</v>
      </c>
      <c r="AK48" s="8" t="s">
        <v>48</v>
      </c>
      <c r="AL48" s="4" t="str">
        <f>HYPERLINK("https://ssb.ee/juhatuse-liikme-cv?id=299280","link")</f>
        <v>link</v>
      </c>
    </row>
    <row r="49" spans="1:38" x14ac:dyDescent="0.25">
      <c r="A49">
        <v>12543543</v>
      </c>
      <c r="B49" t="s">
        <v>435</v>
      </c>
      <c r="C49" s="3">
        <v>41544</v>
      </c>
      <c r="D49" t="s">
        <v>39</v>
      </c>
      <c r="E49" t="s">
        <v>436</v>
      </c>
      <c r="F49" s="4" t="str">
        <f>HYPERLINK("https://ssb.ee/12543543-ID/otsustajad-kasusaajad","link")</f>
        <v>link</v>
      </c>
      <c r="G49" t="s">
        <v>437</v>
      </c>
      <c r="H49" t="s">
        <v>438</v>
      </c>
      <c r="I49" s="4" t="str">
        <f>HYPERLINK("http://peaslogistika.ee","link")</f>
        <v>link</v>
      </c>
      <c r="J49" t="s">
        <v>81</v>
      </c>
      <c r="K49" t="s">
        <v>439</v>
      </c>
      <c r="L49" t="s">
        <v>440</v>
      </c>
      <c r="M49" s="4" t="str">
        <f>HYPERLINK("https://ssb.ee/12543543-ID/meedia-arvamuslood","link")</f>
        <v>link</v>
      </c>
      <c r="N49" t="s">
        <v>441</v>
      </c>
      <c r="O49" s="5">
        <v>41726</v>
      </c>
      <c r="P49" t="s">
        <v>47</v>
      </c>
      <c r="Q49" s="6">
        <v>100000</v>
      </c>
      <c r="R49">
        <v>2021</v>
      </c>
      <c r="S49" s="7" t="s">
        <v>47</v>
      </c>
      <c r="T49" s="7" t="s">
        <v>47</v>
      </c>
      <c r="U49" s="7" t="s">
        <v>47</v>
      </c>
      <c r="V49">
        <v>0.01</v>
      </c>
      <c r="W49" s="8" t="s">
        <v>48</v>
      </c>
      <c r="X49" t="s">
        <v>49</v>
      </c>
      <c r="Y49" s="4" t="str">
        <f>HYPERLINK("https://ssb.ee/12543543-ID/kohustused-volad-kohtulahendid","link")</f>
        <v>link</v>
      </c>
      <c r="Z49">
        <v>3650</v>
      </c>
      <c r="AA49" s="4" t="str">
        <f>HYPERLINK("https://ssb.ee/12543543-ID/finantsid-varad-prognoosid","link")</f>
        <v>link</v>
      </c>
      <c r="AB49" s="6">
        <v>380420</v>
      </c>
      <c r="AC49" s="6">
        <v>15490</v>
      </c>
      <c r="AD49" s="6">
        <v>2889642</v>
      </c>
      <c r="AE49">
        <v>2</v>
      </c>
      <c r="AF49" s="6">
        <v>6982998</v>
      </c>
      <c r="AG49" s="6">
        <v>4600</v>
      </c>
      <c r="AH49" s="4" t="str">
        <f>HYPERLINK("https://ssb.ee/12543543-ID/tootajad-palgad","link")</f>
        <v>link</v>
      </c>
      <c r="AI49" t="s">
        <v>442</v>
      </c>
      <c r="AJ49">
        <v>0.34</v>
      </c>
      <c r="AK49" s="9" t="s">
        <v>51</v>
      </c>
      <c r="AL49" s="4" t="str">
        <f>HYPERLINK("https://ssb.ee/juhatuse-liikme-cv?id=334443","link")</f>
        <v>link</v>
      </c>
    </row>
    <row r="50" spans="1:38" x14ac:dyDescent="0.25">
      <c r="A50">
        <v>10197340</v>
      </c>
      <c r="B50" t="s">
        <v>445</v>
      </c>
      <c r="C50" s="3">
        <v>35487</v>
      </c>
      <c r="D50" t="s">
        <v>39</v>
      </c>
      <c r="E50" t="s">
        <v>446</v>
      </c>
      <c r="F50" s="4" t="str">
        <f>HYPERLINK("https://ssb.ee/10197340-ID/otsustajad-kasusaajad","link")</f>
        <v>link</v>
      </c>
      <c r="G50" t="s">
        <v>447</v>
      </c>
      <c r="H50" t="s">
        <v>448</v>
      </c>
      <c r="I50" s="4" t="str">
        <f>HYPERLINK("http://bpk.ee","link")</f>
        <v>link</v>
      </c>
      <c r="J50" t="s">
        <v>43</v>
      </c>
      <c r="K50" t="s">
        <v>278</v>
      </c>
      <c r="L50" t="s">
        <v>279</v>
      </c>
      <c r="M50" s="4" t="str">
        <f>HYPERLINK("https://ssb.ee/10197340-ID/meedia-arvamuslood","link")</f>
        <v>link</v>
      </c>
      <c r="N50" t="s">
        <v>449</v>
      </c>
      <c r="O50" s="5">
        <v>34639</v>
      </c>
      <c r="P50" t="s">
        <v>47</v>
      </c>
      <c r="Q50" s="6">
        <v>100000</v>
      </c>
      <c r="R50">
        <v>2021</v>
      </c>
      <c r="S50" s="7" t="s">
        <v>47</v>
      </c>
      <c r="T50" s="7" t="s">
        <v>47</v>
      </c>
      <c r="U50" s="7" t="s">
        <v>47</v>
      </c>
      <c r="V50">
        <v>0.01</v>
      </c>
      <c r="W50" s="8" t="s">
        <v>48</v>
      </c>
      <c r="X50" t="s">
        <v>49</v>
      </c>
      <c r="Y50" s="4" t="str">
        <f>HYPERLINK("https://ssb.ee/10197340-ID/kohustused-volad-kohtulahendid","link")</f>
        <v>link</v>
      </c>
      <c r="Z50">
        <v>6220</v>
      </c>
      <c r="AA50" s="4" t="str">
        <f>HYPERLINK("https://ssb.ee/10197340-ID/finantsid-varad-prognoosid","link")</f>
        <v>link</v>
      </c>
      <c r="AB50" s="6">
        <v>177968</v>
      </c>
      <c r="AC50" s="6">
        <v>48938</v>
      </c>
      <c r="AD50" s="6">
        <v>1588453</v>
      </c>
      <c r="AE50">
        <v>11</v>
      </c>
      <c r="AF50" s="6">
        <v>3607483</v>
      </c>
      <c r="AG50" s="6">
        <v>2660</v>
      </c>
      <c r="AH50" s="4" t="str">
        <f>HYPERLINK("https://ssb.ee/10197340-ID/tootajad-palgad","link")</f>
        <v>link</v>
      </c>
      <c r="AI50" t="s">
        <v>450</v>
      </c>
      <c r="AJ50">
        <v>0.01</v>
      </c>
      <c r="AK50" s="8" t="s">
        <v>48</v>
      </c>
      <c r="AL50" s="4" t="str">
        <f>HYPERLINK("https://ssb.ee/juhatuse-liikme-cv?id=276740","link")</f>
        <v>link</v>
      </c>
    </row>
    <row r="51" spans="1:38" x14ac:dyDescent="0.25">
      <c r="A51">
        <v>14665074</v>
      </c>
      <c r="B51" t="s">
        <v>451</v>
      </c>
      <c r="C51" s="3">
        <v>43515</v>
      </c>
      <c r="D51" t="s">
        <v>39</v>
      </c>
      <c r="E51" t="s">
        <v>452</v>
      </c>
      <c r="F51" s="4" t="str">
        <f>HYPERLINK("https://ssb.ee/14665074-ID/otsustajad-kasusaajad","link")</f>
        <v>link</v>
      </c>
      <c r="G51" t="s">
        <v>453</v>
      </c>
      <c r="H51" t="s">
        <v>454</v>
      </c>
      <c r="I51" s="4" t="str">
        <f>HYPERLINK("https://coolpar.ee/","link")</f>
        <v>link</v>
      </c>
      <c r="J51" t="s">
        <v>196</v>
      </c>
      <c r="K51" t="s">
        <v>455</v>
      </c>
      <c r="L51" t="s">
        <v>456</v>
      </c>
      <c r="M51" s="4" t="str">
        <f>HYPERLINK("https://ssb.ee/14665074-ID/meedia-arvamuslood","link")</f>
        <v>link</v>
      </c>
      <c r="N51" t="s">
        <v>457</v>
      </c>
      <c r="O51" s="5">
        <v>43516</v>
      </c>
      <c r="P51" t="s">
        <v>47</v>
      </c>
      <c r="Q51" s="6">
        <v>17200</v>
      </c>
      <c r="R51">
        <v>2021</v>
      </c>
      <c r="S51" s="7" t="s">
        <v>47</v>
      </c>
      <c r="T51" s="7" t="s">
        <v>47</v>
      </c>
      <c r="U51" s="7" t="s">
        <v>47</v>
      </c>
      <c r="V51">
        <v>0.01</v>
      </c>
      <c r="W51" s="8" t="s">
        <v>48</v>
      </c>
      <c r="X51" t="s">
        <v>49</v>
      </c>
      <c r="Y51" s="4" t="str">
        <f>HYPERLINK("https://ssb.ee/14665074-ID/kohustused-volad-kohtulahendid","link")</f>
        <v>link</v>
      </c>
      <c r="Z51">
        <v>1890</v>
      </c>
      <c r="AA51" s="4" t="str">
        <f>HYPERLINK("https://ssb.ee/14665074-ID/finantsid-varad-prognoosid","link")</f>
        <v>link</v>
      </c>
      <c r="AB51" s="6">
        <v>26605</v>
      </c>
      <c r="AC51" s="6">
        <v>3057</v>
      </c>
      <c r="AD51" s="6">
        <v>228754</v>
      </c>
      <c r="AE51">
        <v>4</v>
      </c>
      <c r="AF51" s="6">
        <v>474778</v>
      </c>
      <c r="AG51" s="6">
        <v>650</v>
      </c>
      <c r="AH51" s="4" t="str">
        <f>HYPERLINK("https://ssb.ee/14665074-ID/tootajad-palgad","link")</f>
        <v>link</v>
      </c>
      <c r="AI51" t="s">
        <v>458</v>
      </c>
      <c r="AJ51">
        <v>1.0999999999999999E-2</v>
      </c>
      <c r="AK51" s="8" t="s">
        <v>48</v>
      </c>
      <c r="AL51" s="4" t="str">
        <f>HYPERLINK("https://ssb.ee/juhatuse-liikme-cv?id=1009462","link")</f>
        <v>link</v>
      </c>
    </row>
    <row r="52" spans="1:38" x14ac:dyDescent="0.25">
      <c r="A52">
        <v>12075701</v>
      </c>
      <c r="B52" t="s">
        <v>459</v>
      </c>
      <c r="C52" s="3">
        <v>40619</v>
      </c>
      <c r="D52" t="s">
        <v>39</v>
      </c>
      <c r="E52" t="s">
        <v>460</v>
      </c>
      <c r="F52" s="4" t="str">
        <f>HYPERLINK("https://ssb.ee/12075701-ID/otsustajad-kasusaajad","link")</f>
        <v>link</v>
      </c>
      <c r="G52" t="s">
        <v>461</v>
      </c>
      <c r="H52" t="s">
        <v>462</v>
      </c>
      <c r="I52" s="4" t="str">
        <f>HYPERLINK("http://lotustimber.com","link")</f>
        <v>link</v>
      </c>
      <c r="J52" t="s">
        <v>43</v>
      </c>
      <c r="K52" t="s">
        <v>122</v>
      </c>
      <c r="L52" t="s">
        <v>123</v>
      </c>
      <c r="M52" s="4" t="str">
        <f>HYPERLINK("https://ssb.ee/12075701-ID/meedia-arvamuslood","link")</f>
        <v>link</v>
      </c>
      <c r="N52" t="s">
        <v>463</v>
      </c>
      <c r="O52" s="5">
        <v>40619</v>
      </c>
      <c r="P52" t="s">
        <v>47</v>
      </c>
      <c r="Q52" s="6">
        <v>100000</v>
      </c>
      <c r="R52">
        <v>2021</v>
      </c>
      <c r="S52" s="7" t="s">
        <v>47</v>
      </c>
      <c r="T52" s="7" t="s">
        <v>47</v>
      </c>
      <c r="U52" s="7" t="s">
        <v>47</v>
      </c>
      <c r="V52">
        <v>0.01</v>
      </c>
      <c r="W52" s="8" t="s">
        <v>48</v>
      </c>
      <c r="X52" t="s">
        <v>49</v>
      </c>
      <c r="Y52" s="4" t="str">
        <f>HYPERLINK("https://ssb.ee/12075701-ID/kohustused-volad-kohtulahendid","link")</f>
        <v>link</v>
      </c>
      <c r="Z52">
        <v>24400</v>
      </c>
      <c r="AA52" s="4" t="str">
        <f>HYPERLINK("https://ssb.ee/12075701-ID/finantsid-varad-prognoosid","link")</f>
        <v>link</v>
      </c>
      <c r="AB52" s="6">
        <v>590377</v>
      </c>
      <c r="AC52" s="6">
        <v>201783</v>
      </c>
      <c r="AD52" s="6">
        <v>18243345</v>
      </c>
      <c r="AE52">
        <v>75</v>
      </c>
      <c r="AF52" s="6">
        <v>52077734</v>
      </c>
      <c r="AG52" s="6">
        <v>1690</v>
      </c>
      <c r="AH52" s="4" t="str">
        <f>HYPERLINK("https://ssb.ee/12075701-ID/tootajad-palgad","link")</f>
        <v>link</v>
      </c>
      <c r="AI52" t="s">
        <v>464</v>
      </c>
      <c r="AJ52">
        <v>0.218</v>
      </c>
      <c r="AK52" s="9" t="s">
        <v>51</v>
      </c>
      <c r="AL52" s="4" t="str">
        <f>HYPERLINK("https://ssb.ee/juhatuse-liikme-cv?id=293373","link")</f>
        <v>link</v>
      </c>
    </row>
    <row r="53" spans="1:38" x14ac:dyDescent="0.25">
      <c r="A53">
        <v>11349740</v>
      </c>
      <c r="B53" t="s">
        <v>465</v>
      </c>
      <c r="C53" s="3">
        <v>39148</v>
      </c>
      <c r="D53" t="s">
        <v>39</v>
      </c>
      <c r="E53" t="s">
        <v>466</v>
      </c>
      <c r="F53" s="4" t="str">
        <f>HYPERLINK("https://ssb.ee/11349740-ID/otsustajad-kasusaajad","link")</f>
        <v>link</v>
      </c>
      <c r="G53" t="s">
        <v>467</v>
      </c>
      <c r="H53" t="s">
        <v>468</v>
      </c>
      <c r="I53" s="4" t="str">
        <f>HYPERLINK("https://raamatupidamisbyroo.ee/","link")</f>
        <v>link</v>
      </c>
      <c r="J53" t="s">
        <v>201</v>
      </c>
      <c r="K53" t="s">
        <v>469</v>
      </c>
      <c r="L53" t="s">
        <v>470</v>
      </c>
      <c r="M53" s="4" t="str">
        <f>HYPERLINK("https://ssb.ee/11349740-ID/meedia-arvamuslood","link")</f>
        <v>link</v>
      </c>
      <c r="N53" t="s">
        <v>471</v>
      </c>
      <c r="O53" s="5">
        <v>39160</v>
      </c>
      <c r="P53" t="s">
        <v>47</v>
      </c>
      <c r="Q53" s="6">
        <v>7800</v>
      </c>
      <c r="R53">
        <v>2021</v>
      </c>
      <c r="S53" s="7" t="s">
        <v>47</v>
      </c>
      <c r="T53" s="7" t="s">
        <v>47</v>
      </c>
      <c r="U53" s="7" t="s">
        <v>47</v>
      </c>
      <c r="V53">
        <v>0.01</v>
      </c>
      <c r="W53" s="8" t="s">
        <v>48</v>
      </c>
      <c r="X53" t="s">
        <v>49</v>
      </c>
      <c r="Y53" s="4" t="str">
        <f>HYPERLINK("https://ssb.ee/11349740-ID/kohustused-volad-kohtulahendid","link")</f>
        <v>link</v>
      </c>
      <c r="Z53">
        <v>2580</v>
      </c>
      <c r="AA53" s="4" t="str">
        <f>HYPERLINK("https://ssb.ee/11349740-ID/finantsid-varad-prognoosid","link")</f>
        <v>link</v>
      </c>
      <c r="AB53" s="6">
        <v>27080</v>
      </c>
      <c r="AC53" s="6">
        <v>14974</v>
      </c>
      <c r="AD53" s="6">
        <v>74919</v>
      </c>
      <c r="AE53">
        <v>7</v>
      </c>
      <c r="AF53" s="6">
        <v>278640</v>
      </c>
      <c r="AG53" s="6">
        <v>1465</v>
      </c>
      <c r="AH53" s="4" t="str">
        <f>HYPERLINK("https://ssb.ee/11349740-ID/tootajad-palgad","link")</f>
        <v>link</v>
      </c>
      <c r="AI53" t="s">
        <v>472</v>
      </c>
      <c r="AJ53">
        <v>0.01</v>
      </c>
      <c r="AK53" s="8" t="s">
        <v>48</v>
      </c>
      <c r="AL53" s="4" t="str">
        <f>HYPERLINK("https://ssb.ee/juhatuse-liikme-cv?id=327598","link")</f>
        <v>link</v>
      </c>
    </row>
    <row r="54" spans="1:38" x14ac:dyDescent="0.25">
      <c r="A54">
        <v>12555105</v>
      </c>
      <c r="B54" t="s">
        <v>473</v>
      </c>
      <c r="C54" s="3">
        <v>41564</v>
      </c>
      <c r="D54" t="s">
        <v>39</v>
      </c>
      <c r="E54" t="s">
        <v>474</v>
      </c>
      <c r="F54" s="4" t="str">
        <f>HYPERLINK("https://ssb.ee/12555105-ID/otsustajad-kasusaajad","link")</f>
        <v>link</v>
      </c>
      <c r="G54" t="s">
        <v>475</v>
      </c>
      <c r="H54" t="s">
        <v>476</v>
      </c>
      <c r="I54" s="4" t="str">
        <f>HYPERLINK("https://kahuehitus.ee/","link")</f>
        <v>link</v>
      </c>
      <c r="J54" t="s">
        <v>90</v>
      </c>
      <c r="K54" t="s">
        <v>180</v>
      </c>
      <c r="L54" t="s">
        <v>181</v>
      </c>
      <c r="M54" s="4" t="str">
        <f>HYPERLINK("https://ssb.ee/12555105-ID/meedia-arvamuslood","link")</f>
        <v>link</v>
      </c>
      <c r="N54" t="s">
        <v>477</v>
      </c>
      <c r="O54" s="5">
        <v>41609</v>
      </c>
      <c r="P54" t="s">
        <v>47</v>
      </c>
      <c r="Q54" s="6">
        <v>81100</v>
      </c>
      <c r="R54">
        <v>2021</v>
      </c>
      <c r="S54" s="7" t="s">
        <v>47</v>
      </c>
      <c r="T54" s="7" t="s">
        <v>47</v>
      </c>
      <c r="U54" s="7" t="s">
        <v>47</v>
      </c>
      <c r="V54">
        <v>0.01</v>
      </c>
      <c r="W54" s="8" t="s">
        <v>48</v>
      </c>
      <c r="X54" t="s">
        <v>49</v>
      </c>
      <c r="Y54" s="4" t="str">
        <f>HYPERLINK("https://ssb.ee/12555105-ID/kohustused-volad-kohtulahendid","link")</f>
        <v>link</v>
      </c>
      <c r="Z54">
        <v>3230</v>
      </c>
      <c r="AA54" s="4" t="str">
        <f>HYPERLINK("https://ssb.ee/12555105-ID/finantsid-varad-prognoosid","link")</f>
        <v>link</v>
      </c>
      <c r="AB54" s="6">
        <v>59896</v>
      </c>
      <c r="AC54" s="6">
        <v>20001</v>
      </c>
      <c r="AD54" s="6">
        <v>1136840</v>
      </c>
      <c r="AE54">
        <v>9</v>
      </c>
      <c r="AF54" s="6">
        <v>3558601</v>
      </c>
      <c r="AG54" s="6">
        <v>1465</v>
      </c>
      <c r="AH54" s="4" t="str">
        <f>HYPERLINK("https://ssb.ee/12555105-ID/tootajad-palgad","link")</f>
        <v>link</v>
      </c>
      <c r="AI54" t="s">
        <v>478</v>
      </c>
      <c r="AJ54">
        <v>0.505</v>
      </c>
      <c r="AK54" s="11" t="s">
        <v>150</v>
      </c>
      <c r="AL54" s="4" t="str">
        <f>HYPERLINK("https://ssb.ee/juhatuse-liikme-cv?id=301964","link")</f>
        <v>link</v>
      </c>
    </row>
    <row r="55" spans="1:38" x14ac:dyDescent="0.25">
      <c r="A55">
        <v>10079296</v>
      </c>
      <c r="B55" t="s">
        <v>479</v>
      </c>
      <c r="C55" s="3">
        <v>34335</v>
      </c>
      <c r="D55" t="s">
        <v>39</v>
      </c>
      <c r="E55" t="s">
        <v>480</v>
      </c>
      <c r="F55" s="4" t="str">
        <f>HYPERLINK("https://ssb.ee/10079296-ID/otsustajad-kasusaajad","link")</f>
        <v>link</v>
      </c>
      <c r="G55" t="s">
        <v>481</v>
      </c>
      <c r="H55" t="s">
        <v>482</v>
      </c>
      <c r="I55" s="4" t="str">
        <f>HYPERLINK("https://reneko.ee/","link")</f>
        <v>link</v>
      </c>
      <c r="J55" t="s">
        <v>61</v>
      </c>
      <c r="K55" t="s">
        <v>99</v>
      </c>
      <c r="L55" t="s">
        <v>100</v>
      </c>
      <c r="M55" s="4" t="str">
        <f>HYPERLINK("https://ssb.ee/10079296-ID/meedia-arvamuslood","link")</f>
        <v>link</v>
      </c>
      <c r="N55" t="s">
        <v>483</v>
      </c>
      <c r="O55" s="5">
        <v>34335</v>
      </c>
      <c r="P55" t="s">
        <v>47</v>
      </c>
      <c r="Q55" s="6">
        <v>37600</v>
      </c>
      <c r="R55">
        <v>2021</v>
      </c>
      <c r="S55" s="7" t="s">
        <v>47</v>
      </c>
      <c r="T55" s="7" t="s">
        <v>47</v>
      </c>
      <c r="U55" s="7" t="s">
        <v>47</v>
      </c>
      <c r="V55">
        <v>0.01</v>
      </c>
      <c r="W55" s="8" t="s">
        <v>48</v>
      </c>
      <c r="X55" t="s">
        <v>49</v>
      </c>
      <c r="Y55" s="4" t="str">
        <f>HYPERLINK("https://ssb.ee/10079296-ID/kohustused-volad-kohtulahendid","link")</f>
        <v>link</v>
      </c>
      <c r="Z55">
        <v>3330</v>
      </c>
      <c r="AA55" s="4" t="str">
        <f>HYPERLINK("https://ssb.ee/10079296-ID/finantsid-varad-prognoosid","link")</f>
        <v>link</v>
      </c>
      <c r="AB55" s="6">
        <v>51128</v>
      </c>
      <c r="AC55" s="6">
        <v>53939</v>
      </c>
      <c r="AD55" s="6">
        <v>459271</v>
      </c>
      <c r="AE55">
        <v>20</v>
      </c>
      <c r="AF55" s="6">
        <v>1501195</v>
      </c>
      <c r="AG55" s="6">
        <v>1690</v>
      </c>
      <c r="AH55" s="4" t="str">
        <f>HYPERLINK("https://ssb.ee/10079296-ID/tootajad-palgad","link")</f>
        <v>link</v>
      </c>
      <c r="AI55" t="s">
        <v>484</v>
      </c>
      <c r="AJ55">
        <v>0.01</v>
      </c>
      <c r="AK55" s="8" t="s">
        <v>48</v>
      </c>
      <c r="AL55" s="4" t="str">
        <f>HYPERLINK("https://ssb.ee/juhatuse-liikme-cv?id=267977","link")</f>
        <v>link</v>
      </c>
    </row>
    <row r="56" spans="1:38" x14ac:dyDescent="0.25">
      <c r="A56">
        <v>10714404</v>
      </c>
      <c r="B56" t="s">
        <v>485</v>
      </c>
      <c r="C56" s="3">
        <v>36871</v>
      </c>
      <c r="D56" t="s">
        <v>39</v>
      </c>
      <c r="E56" t="s">
        <v>486</v>
      </c>
      <c r="F56" s="4" t="str">
        <f>HYPERLINK("https://ssb.ee/10714404-ID/otsustajad-kasusaajad","link")</f>
        <v>link</v>
      </c>
      <c r="G56" t="s">
        <v>487</v>
      </c>
      <c r="H56" t="s">
        <v>488</v>
      </c>
      <c r="I56" s="4" t="str">
        <f>HYPERLINK("https://finestmedia.ee/","link")</f>
        <v>link</v>
      </c>
      <c r="J56" t="s">
        <v>112</v>
      </c>
      <c r="K56" t="s">
        <v>113</v>
      </c>
      <c r="L56" t="s">
        <v>114</v>
      </c>
      <c r="M56" s="4" t="str">
        <f>HYPERLINK("https://ssb.ee/10714404-ID/meedia-arvamuslood","link")</f>
        <v>link</v>
      </c>
      <c r="N56" t="s">
        <v>489</v>
      </c>
      <c r="O56" s="5">
        <v>36892</v>
      </c>
      <c r="P56" t="s">
        <v>47</v>
      </c>
      <c r="Q56" s="6">
        <v>96800</v>
      </c>
      <c r="R56">
        <v>2021</v>
      </c>
      <c r="S56" s="7" t="s">
        <v>47</v>
      </c>
      <c r="T56" s="7" t="s">
        <v>47</v>
      </c>
      <c r="U56" s="7" t="s">
        <v>47</v>
      </c>
      <c r="V56">
        <v>0.01</v>
      </c>
      <c r="W56" s="8" t="s">
        <v>48</v>
      </c>
      <c r="X56" t="s">
        <v>49</v>
      </c>
      <c r="Y56" s="4" t="str">
        <f>HYPERLINK("https://ssb.ee/10714404-ID/kohustused-volad-kohtulahendid","link")</f>
        <v>link</v>
      </c>
      <c r="Z56">
        <v>7500</v>
      </c>
      <c r="AA56" s="4" t="str">
        <f>HYPERLINK("https://ssb.ee/10714404-ID/finantsid-varad-prognoosid","link")</f>
        <v>link</v>
      </c>
      <c r="AB56" s="6">
        <v>369890</v>
      </c>
      <c r="AC56" s="6">
        <v>297771</v>
      </c>
      <c r="AD56" s="6">
        <v>784568</v>
      </c>
      <c r="AE56">
        <v>63</v>
      </c>
      <c r="AF56" s="6">
        <v>4259491</v>
      </c>
      <c r="AG56" s="6">
        <v>2790</v>
      </c>
      <c r="AH56" s="4" t="str">
        <f>HYPERLINK("https://ssb.ee/10714404-ID/tootajad-palgad","link")</f>
        <v>link</v>
      </c>
      <c r="AI56" t="s">
        <v>490</v>
      </c>
      <c r="AJ56">
        <v>0.17599999999999999</v>
      </c>
      <c r="AK56" s="9" t="s">
        <v>51</v>
      </c>
      <c r="AL56" s="4" t="str">
        <f>HYPERLINK("https://ssb.ee/juhatuse-liikme-cv?id=299801","link")</f>
        <v>link</v>
      </c>
    </row>
    <row r="57" spans="1:38" x14ac:dyDescent="0.25">
      <c r="A57">
        <v>11367436</v>
      </c>
      <c r="B57" t="s">
        <v>491</v>
      </c>
      <c r="C57" s="3">
        <v>39167</v>
      </c>
      <c r="D57" t="s">
        <v>39</v>
      </c>
      <c r="E57" t="s">
        <v>492</v>
      </c>
      <c r="F57" s="4" t="str">
        <f>HYPERLINK("https://ssb.ee/11367436-ID/otsustajad-kasusaajad","link")</f>
        <v>link</v>
      </c>
      <c r="G57" t="s">
        <v>493</v>
      </c>
      <c r="H57" t="s">
        <v>494</v>
      </c>
      <c r="I57" s="4" t="str">
        <f>HYPERLINK("http://acrulam.ee","link")</f>
        <v>link</v>
      </c>
      <c r="J57" t="s">
        <v>43</v>
      </c>
      <c r="K57" t="s">
        <v>495</v>
      </c>
      <c r="L57" t="s">
        <v>496</v>
      </c>
      <c r="M57" s="4" t="str">
        <f>HYPERLINK("https://ssb.ee/11367436-ID/meedia-arvamuslood","link")</f>
        <v>link</v>
      </c>
      <c r="N57" t="s">
        <v>497</v>
      </c>
      <c r="O57" s="5">
        <v>39211</v>
      </c>
      <c r="P57" t="s">
        <v>47</v>
      </c>
      <c r="Q57" s="6">
        <v>100000</v>
      </c>
      <c r="R57">
        <v>2021</v>
      </c>
      <c r="S57" s="7" t="s">
        <v>47</v>
      </c>
      <c r="T57" s="7" t="s">
        <v>47</v>
      </c>
      <c r="U57" s="7" t="s">
        <v>47</v>
      </c>
      <c r="V57">
        <v>0.01</v>
      </c>
      <c r="W57" s="8" t="s">
        <v>48</v>
      </c>
      <c r="X57" t="s">
        <v>49</v>
      </c>
      <c r="Y57" s="4" t="str">
        <f>HYPERLINK("https://ssb.ee/11367436-ID/kohustused-volad-kohtulahendid","link")</f>
        <v>link</v>
      </c>
      <c r="Z57">
        <v>2920</v>
      </c>
      <c r="AA57" s="4" t="str">
        <f>HYPERLINK("https://ssb.ee/11367436-ID/finantsid-varad-prognoosid","link")</f>
        <v>link</v>
      </c>
      <c r="AB57" s="6">
        <v>82757</v>
      </c>
      <c r="AC57" s="6">
        <v>20257</v>
      </c>
      <c r="AD57" s="6">
        <v>1421485</v>
      </c>
      <c r="AE57">
        <v>6</v>
      </c>
      <c r="AF57" s="6">
        <v>3230530</v>
      </c>
      <c r="AG57" s="6">
        <v>2070</v>
      </c>
      <c r="AH57" s="4" t="str">
        <f>HYPERLINK("https://ssb.ee/11367436-ID/tootajad-palgad","link")</f>
        <v>link</v>
      </c>
      <c r="AI57" t="s">
        <v>498</v>
      </c>
      <c r="AJ57">
        <v>0.01</v>
      </c>
      <c r="AK57" s="8" t="s">
        <v>48</v>
      </c>
      <c r="AL57" s="4" t="str">
        <f>HYPERLINK("https://ssb.ee/juhatuse-liikme-cv?id=328993","link")</f>
        <v>link</v>
      </c>
    </row>
    <row r="58" spans="1:38" x14ac:dyDescent="0.25">
      <c r="A58">
        <v>12775568</v>
      </c>
      <c r="B58" t="s">
        <v>499</v>
      </c>
      <c r="C58" s="3">
        <v>42004</v>
      </c>
      <c r="D58" t="s">
        <v>39</v>
      </c>
      <c r="E58" t="s">
        <v>500</v>
      </c>
      <c r="F58" s="4" t="str">
        <f>HYPERLINK("https://ssb.ee/12775568-ID/otsustajad-kasusaajad","link")</f>
        <v>link</v>
      </c>
      <c r="G58" t="s">
        <v>501</v>
      </c>
      <c r="H58" t="s">
        <v>502</v>
      </c>
      <c r="I58" s="4" t="str">
        <f>HYPERLINK("http://coho.ee","link")</f>
        <v>link</v>
      </c>
      <c r="J58" t="s">
        <v>90</v>
      </c>
      <c r="K58" t="s">
        <v>180</v>
      </c>
      <c r="L58" t="s">
        <v>181</v>
      </c>
      <c r="M58" s="4" t="str">
        <f>HYPERLINK("https://ssb.ee/12775568-ID/meedia-arvamuslood","link")</f>
        <v>link</v>
      </c>
      <c r="N58" t="s">
        <v>503</v>
      </c>
      <c r="O58" s="5">
        <v>42401</v>
      </c>
      <c r="P58" t="s">
        <v>47</v>
      </c>
      <c r="Q58" s="6">
        <v>88400</v>
      </c>
      <c r="R58">
        <v>2021</v>
      </c>
      <c r="S58" s="7" t="s">
        <v>47</v>
      </c>
      <c r="T58" s="7" t="s">
        <v>47</v>
      </c>
      <c r="U58" s="7" t="s">
        <v>47</v>
      </c>
      <c r="V58">
        <v>5.1999999999999998E-2</v>
      </c>
      <c r="W58" s="8" t="s">
        <v>48</v>
      </c>
      <c r="X58" t="s">
        <v>49</v>
      </c>
      <c r="Y58" s="4" t="str">
        <f>HYPERLINK("https://ssb.ee/12775568-ID/kohustused-volad-kohtulahendid","link")</f>
        <v>link</v>
      </c>
      <c r="Z58">
        <v>3320</v>
      </c>
      <c r="AA58" s="4" t="str">
        <f>HYPERLINK("https://ssb.ee/12775568-ID/finantsid-varad-prognoosid","link")</f>
        <v>link</v>
      </c>
      <c r="AB58" s="6">
        <v>53499</v>
      </c>
      <c r="AC58" s="6">
        <v>35347</v>
      </c>
      <c r="AD58" s="6">
        <v>1236969</v>
      </c>
      <c r="AE58">
        <v>17</v>
      </c>
      <c r="AF58" s="6">
        <v>3597338</v>
      </c>
      <c r="AG58" s="6">
        <v>1390</v>
      </c>
      <c r="AH58" s="4" t="str">
        <f>HYPERLINK("https://ssb.ee/12775568-ID/tootajad-palgad","link")</f>
        <v>link</v>
      </c>
      <c r="AI58" t="s">
        <v>504</v>
      </c>
      <c r="AJ58">
        <v>2.7E-2</v>
      </c>
      <c r="AK58" s="8" t="s">
        <v>48</v>
      </c>
      <c r="AL58" s="4" t="str">
        <f>HYPERLINK("https://ssb.ee/juhatuse-liikme-cv?id=337335","link")</f>
        <v>link</v>
      </c>
    </row>
    <row r="59" spans="1:38" x14ac:dyDescent="0.25">
      <c r="A59">
        <v>14605824</v>
      </c>
      <c r="B59" t="s">
        <v>505</v>
      </c>
      <c r="C59" s="3">
        <v>43417</v>
      </c>
      <c r="D59" t="s">
        <v>39</v>
      </c>
      <c r="E59" t="s">
        <v>506</v>
      </c>
      <c r="F59" s="4" t="str">
        <f>HYPERLINK("https://ssb.ee/14605824-ID/otsustajad-kasusaajad","link")</f>
        <v>link</v>
      </c>
      <c r="G59" t="s">
        <v>507</v>
      </c>
      <c r="H59" t="s">
        <v>47</v>
      </c>
      <c r="I59" s="4" t="str">
        <f>HYPERLINK("https://peugeot.autospirit.ee","link")</f>
        <v>link</v>
      </c>
      <c r="J59" t="s">
        <v>43</v>
      </c>
      <c r="K59" t="s">
        <v>508</v>
      </c>
      <c r="L59" t="s">
        <v>321</v>
      </c>
      <c r="M59" s="4" t="str">
        <f>HYPERLINK("https://ssb.ee/14605824-ID/meedia-arvamuslood","link")</f>
        <v>link</v>
      </c>
      <c r="N59" t="s">
        <v>509</v>
      </c>
      <c r="O59" s="5">
        <v>43518</v>
      </c>
      <c r="P59" t="s">
        <v>47</v>
      </c>
      <c r="Q59" s="6">
        <v>100000</v>
      </c>
      <c r="R59">
        <v>2021</v>
      </c>
      <c r="S59" s="7" t="s">
        <v>47</v>
      </c>
      <c r="T59" s="7" t="s">
        <v>47</v>
      </c>
      <c r="U59" s="7" t="s">
        <v>47</v>
      </c>
      <c r="V59">
        <v>0.01</v>
      </c>
      <c r="W59" s="8" t="s">
        <v>48</v>
      </c>
      <c r="X59" t="s">
        <v>49</v>
      </c>
      <c r="Y59" s="4" t="str">
        <f>HYPERLINK("https://ssb.ee/14605824-ID/kohustused-volad-kohtulahendid","link")</f>
        <v>link</v>
      </c>
      <c r="Z59">
        <v>4450</v>
      </c>
      <c r="AA59" s="4" t="str">
        <f>HYPERLINK("https://ssb.ee/14605824-ID/finantsid-varad-prognoosid","link")</f>
        <v>link</v>
      </c>
      <c r="AB59" s="6">
        <v>102896</v>
      </c>
      <c r="AC59" s="6">
        <v>56081</v>
      </c>
      <c r="AD59" s="6">
        <v>1663164</v>
      </c>
      <c r="AE59">
        <v>22</v>
      </c>
      <c r="AF59" s="6">
        <v>6613489</v>
      </c>
      <c r="AG59" s="6">
        <v>1615</v>
      </c>
      <c r="AH59" s="4" t="str">
        <f>HYPERLINK("https://ssb.ee/14605824-ID/tootajad-palgad","link")</f>
        <v>link</v>
      </c>
      <c r="AI59" t="s">
        <v>510</v>
      </c>
      <c r="AJ59">
        <v>0.183</v>
      </c>
      <c r="AK59" s="9" t="s">
        <v>51</v>
      </c>
      <c r="AL59" s="4" t="str">
        <f>HYPERLINK("https://ssb.ee/juhatuse-liikme-cv?id=279495","link")</f>
        <v>link</v>
      </c>
    </row>
    <row r="60" spans="1:38" x14ac:dyDescent="0.25">
      <c r="A60">
        <v>10136491</v>
      </c>
      <c r="B60" t="s">
        <v>511</v>
      </c>
      <c r="C60" s="3">
        <v>34335</v>
      </c>
      <c r="D60" t="s">
        <v>39</v>
      </c>
      <c r="E60" t="s">
        <v>512</v>
      </c>
      <c r="F60" s="4" t="str">
        <f>HYPERLINK("https://ssb.ee/10136491-ID/otsustajad-kasusaajad","link")</f>
        <v>link</v>
      </c>
      <c r="G60" t="s">
        <v>513</v>
      </c>
      <c r="H60" t="s">
        <v>514</v>
      </c>
      <c r="I60" s="4" t="str">
        <f>HYPERLINK("https://akaruse.ee/","link")</f>
        <v>link</v>
      </c>
      <c r="J60" t="s">
        <v>81</v>
      </c>
      <c r="K60" t="s">
        <v>264</v>
      </c>
      <c r="L60" t="s">
        <v>265</v>
      </c>
      <c r="M60" s="4" t="str">
        <f>HYPERLINK("https://ssb.ee/10136491-ID/meedia-arvamuslood","link")</f>
        <v>link</v>
      </c>
      <c r="N60" t="s">
        <v>515</v>
      </c>
      <c r="O60" s="5">
        <v>34335</v>
      </c>
      <c r="P60" t="s">
        <v>47</v>
      </c>
      <c r="Q60" s="6">
        <v>88700</v>
      </c>
      <c r="R60">
        <v>2021</v>
      </c>
      <c r="S60" s="7" t="s">
        <v>47</v>
      </c>
      <c r="T60" s="7" t="s">
        <v>47</v>
      </c>
      <c r="U60" s="7" t="s">
        <v>47</v>
      </c>
      <c r="V60">
        <v>0.01</v>
      </c>
      <c r="W60" s="8" t="s">
        <v>48</v>
      </c>
      <c r="X60" t="s">
        <v>49</v>
      </c>
      <c r="Y60" s="4" t="str">
        <f>HYPERLINK("https://ssb.ee/10136491-ID/kohustused-volad-kohtulahendid","link")</f>
        <v>link</v>
      </c>
      <c r="Z60">
        <v>4820</v>
      </c>
      <c r="AA60" s="4" t="str">
        <f>HYPERLINK("https://ssb.ee/10136491-ID/finantsid-varad-prognoosid","link")</f>
        <v>link</v>
      </c>
      <c r="AB60" s="6">
        <v>144535</v>
      </c>
      <c r="AC60" s="6">
        <v>48113</v>
      </c>
      <c r="AD60" s="6">
        <v>1137589</v>
      </c>
      <c r="AE60">
        <v>49</v>
      </c>
      <c r="AF60" s="6">
        <v>3980562</v>
      </c>
      <c r="AG60" s="6">
        <v>780</v>
      </c>
      <c r="AH60" s="4" t="str">
        <f>HYPERLINK("https://ssb.ee/10136491-ID/tootajad-palgad","link")</f>
        <v>link</v>
      </c>
      <c r="AI60" t="s">
        <v>516</v>
      </c>
      <c r="AJ60">
        <v>0.34</v>
      </c>
      <c r="AK60" s="9" t="s">
        <v>51</v>
      </c>
      <c r="AL60" s="4" t="str">
        <f>HYPERLINK("https://ssb.ee/juhatuse-liikme-cv?id=367768","link")</f>
        <v>link</v>
      </c>
    </row>
    <row r="61" spans="1:38" x14ac:dyDescent="0.25">
      <c r="A61">
        <v>10359328</v>
      </c>
      <c r="B61" t="s">
        <v>517</v>
      </c>
      <c r="C61" s="3">
        <v>34335</v>
      </c>
      <c r="D61" t="s">
        <v>39</v>
      </c>
      <c r="E61" t="s">
        <v>518</v>
      </c>
      <c r="F61" s="4" t="str">
        <f>HYPERLINK("https://ssb.ee/10359328-ID/otsustajad-kasusaajad","link")</f>
        <v>link</v>
      </c>
      <c r="G61" t="s">
        <v>519</v>
      </c>
      <c r="H61" t="s">
        <v>520</v>
      </c>
      <c r="I61" s="4" t="str">
        <f>HYPERLINK("http://tehnoplast.ee","link")</f>
        <v>link</v>
      </c>
      <c r="J61" t="s">
        <v>43</v>
      </c>
      <c r="K61" t="s">
        <v>521</v>
      </c>
      <c r="L61" t="s">
        <v>522</v>
      </c>
      <c r="M61" s="4" t="str">
        <f>HYPERLINK("https://ssb.ee/10359328-ID/meedia-arvamuslood","link")</f>
        <v>link</v>
      </c>
      <c r="N61" t="s">
        <v>523</v>
      </c>
      <c r="O61" s="5">
        <v>34335</v>
      </c>
      <c r="P61" t="s">
        <v>47</v>
      </c>
      <c r="Q61" s="6">
        <v>100000</v>
      </c>
      <c r="R61">
        <v>2021</v>
      </c>
      <c r="S61" s="7" t="s">
        <v>47</v>
      </c>
      <c r="T61" s="7" t="s">
        <v>47</v>
      </c>
      <c r="U61" s="7" t="s">
        <v>47</v>
      </c>
      <c r="V61">
        <v>0.01</v>
      </c>
      <c r="W61" s="8" t="s">
        <v>48</v>
      </c>
      <c r="X61" t="s">
        <v>49</v>
      </c>
      <c r="Y61" s="4" t="str">
        <f>HYPERLINK("https://ssb.ee/10359328-ID/kohustused-volad-kohtulahendid","link")</f>
        <v>link</v>
      </c>
      <c r="Z61">
        <v>4370</v>
      </c>
      <c r="AA61" s="4" t="str">
        <f>HYPERLINK("https://ssb.ee/10359328-ID/finantsid-varad-prognoosid","link")</f>
        <v>link</v>
      </c>
      <c r="AB61" s="6">
        <v>156745</v>
      </c>
      <c r="AC61" s="6">
        <v>80107</v>
      </c>
      <c r="AD61" s="6">
        <v>1321736</v>
      </c>
      <c r="AE61">
        <v>26</v>
      </c>
      <c r="AF61" s="6">
        <v>5268374</v>
      </c>
      <c r="AG61" s="6">
        <v>1920</v>
      </c>
      <c r="AH61" s="4" t="str">
        <f>HYPERLINK("https://ssb.ee/10359328-ID/tootajad-palgad","link")</f>
        <v>link</v>
      </c>
      <c r="AI61" t="s">
        <v>524</v>
      </c>
      <c r="AJ61">
        <v>0.01</v>
      </c>
      <c r="AK61" s="8" t="s">
        <v>48</v>
      </c>
      <c r="AL61" s="4" t="str">
        <f>HYPERLINK("https://ssb.ee/juhatuse-liikme-cv?id=279727","link")</f>
        <v>link</v>
      </c>
    </row>
    <row r="62" spans="1:38" x14ac:dyDescent="0.25">
      <c r="A62">
        <v>10000573</v>
      </c>
      <c r="B62" t="s">
        <v>525</v>
      </c>
      <c r="C62" s="3">
        <v>35004</v>
      </c>
      <c r="D62" t="s">
        <v>39</v>
      </c>
      <c r="E62" t="s">
        <v>526</v>
      </c>
      <c r="F62" s="4" t="str">
        <f>HYPERLINK("https://ssb.ee/10000573-ID/otsustajad-kasusaajad","link")</f>
        <v>link</v>
      </c>
      <c r="G62" t="s">
        <v>527</v>
      </c>
      <c r="H62" t="s">
        <v>528</v>
      </c>
      <c r="I62" s="4" t="str">
        <f>HYPERLINK("https://metaprint.com/","link")</f>
        <v>link</v>
      </c>
      <c r="J62" t="s">
        <v>196</v>
      </c>
      <c r="K62" t="s">
        <v>529</v>
      </c>
      <c r="L62" t="s">
        <v>530</v>
      </c>
      <c r="M62" s="4" t="str">
        <f>HYPERLINK("https://ssb.ee/10000573-ID/meedia-arvamuslood","link")</f>
        <v>link</v>
      </c>
      <c r="N62" t="s">
        <v>531</v>
      </c>
      <c r="O62" s="5">
        <v>35004</v>
      </c>
      <c r="P62" t="s">
        <v>47</v>
      </c>
      <c r="Q62" s="6">
        <v>100000</v>
      </c>
      <c r="R62">
        <v>2021</v>
      </c>
      <c r="S62" s="7" t="s">
        <v>47</v>
      </c>
      <c r="T62" s="7" t="s">
        <v>47</v>
      </c>
      <c r="U62" s="7" t="s">
        <v>47</v>
      </c>
      <c r="V62">
        <v>0.01</v>
      </c>
      <c r="W62" s="8" t="s">
        <v>48</v>
      </c>
      <c r="X62" t="s">
        <v>49</v>
      </c>
      <c r="Y62" s="4" t="str">
        <f>HYPERLINK("https://ssb.ee/10000573-ID/kohustused-volad-kohtulahendid","link")</f>
        <v>link</v>
      </c>
      <c r="Z62">
        <v>45900</v>
      </c>
      <c r="AA62" s="4" t="str">
        <f>HYPERLINK("https://ssb.ee/10000573-ID/finantsid-varad-prognoosid","link")</f>
        <v>link</v>
      </c>
      <c r="AB62" s="6">
        <v>1492539</v>
      </c>
      <c r="AC62" s="6">
        <v>850514</v>
      </c>
      <c r="AD62" s="6">
        <v>46998749</v>
      </c>
      <c r="AE62">
        <v>273</v>
      </c>
      <c r="AF62" s="6">
        <v>103387092</v>
      </c>
      <c r="AG62" s="6">
        <v>1920</v>
      </c>
      <c r="AH62" s="4" t="str">
        <f>HYPERLINK("https://ssb.ee/10000573-ID/tootajad-palgad","link")</f>
        <v>link</v>
      </c>
      <c r="AI62" t="s">
        <v>532</v>
      </c>
      <c r="AJ62">
        <v>0.34</v>
      </c>
      <c r="AK62" s="9" t="s">
        <v>51</v>
      </c>
      <c r="AL62" s="4" t="str">
        <f>HYPERLINK("https://ssb.ee/juhatuse-liikme-cv?id=264051","link")</f>
        <v>link</v>
      </c>
    </row>
    <row r="63" spans="1:38" x14ac:dyDescent="0.25">
      <c r="A63">
        <v>75035281</v>
      </c>
      <c r="B63" t="s">
        <v>533</v>
      </c>
      <c r="C63" s="3">
        <v>39471</v>
      </c>
      <c r="D63" t="s">
        <v>39</v>
      </c>
      <c r="E63" t="s">
        <v>534</v>
      </c>
      <c r="F63" s="4" t="str">
        <f>HYPERLINK("https://ssb.ee/75035281-ID/otsustajad-kasusaajad","link")</f>
        <v>link</v>
      </c>
      <c r="G63" t="s">
        <v>535</v>
      </c>
      <c r="H63" t="s">
        <v>536</v>
      </c>
      <c r="I63" s="4" t="str">
        <f>HYPERLINK("https://lsk.ee/ ","link")</f>
        <v>link</v>
      </c>
      <c r="J63" t="s">
        <v>143</v>
      </c>
      <c r="K63" t="s">
        <v>537</v>
      </c>
      <c r="L63" t="s">
        <v>538</v>
      </c>
      <c r="M63" s="4" t="str">
        <f>HYPERLINK("https://ssb.ee/75035281-ID/meedia-arvamuslood","link")</f>
        <v>link</v>
      </c>
      <c r="N63" t="s">
        <v>47</v>
      </c>
      <c r="O63" t="s">
        <v>47</v>
      </c>
      <c r="P63" t="s">
        <v>47</v>
      </c>
      <c r="Q63" s="6">
        <v>12200</v>
      </c>
      <c r="R63" t="s">
        <v>47</v>
      </c>
      <c r="S63" s="7" t="s">
        <v>47</v>
      </c>
      <c r="T63" s="7" t="s">
        <v>47</v>
      </c>
      <c r="U63" s="7" t="s">
        <v>47</v>
      </c>
      <c r="V63">
        <v>0.01</v>
      </c>
      <c r="W63" s="8" t="s">
        <v>48</v>
      </c>
      <c r="X63" t="s">
        <v>49</v>
      </c>
      <c r="Y63" s="4" t="str">
        <f>HYPERLINK("https://ssb.ee/75035281-ID/kohustused-volad-kohtulahendid","link")</f>
        <v>link</v>
      </c>
      <c r="Z63">
        <v>3520</v>
      </c>
      <c r="AA63" s="4" t="str">
        <f>HYPERLINK("https://ssb.ee/75035281-ID/finantsid-varad-prognoosid","link")</f>
        <v>link</v>
      </c>
      <c r="AB63" s="6">
        <v>88731</v>
      </c>
      <c r="AC63" s="6">
        <v>94140</v>
      </c>
      <c r="AD63" s="6" t="s">
        <v>47</v>
      </c>
      <c r="AE63">
        <v>61</v>
      </c>
      <c r="AF63" s="6" t="s">
        <v>47</v>
      </c>
      <c r="AG63" s="6">
        <v>1100</v>
      </c>
      <c r="AH63" s="4" t="str">
        <f>HYPERLINK("https://ssb.ee/75035281-ID/tootajad-palgad","link")</f>
        <v>link</v>
      </c>
      <c r="AI63" t="s">
        <v>539</v>
      </c>
      <c r="AJ63">
        <v>0.01</v>
      </c>
      <c r="AK63" s="8" t="s">
        <v>48</v>
      </c>
      <c r="AL63" s="4" t="str">
        <f>HYPERLINK("https://ssb.ee/juhatuse-liikme-cv?id=1207342","link")</f>
        <v>link</v>
      </c>
    </row>
    <row r="64" spans="1:38" x14ac:dyDescent="0.25">
      <c r="A64">
        <v>11291472</v>
      </c>
      <c r="B64" t="s">
        <v>540</v>
      </c>
      <c r="C64" s="3">
        <v>39023</v>
      </c>
      <c r="D64" t="s">
        <v>39</v>
      </c>
      <c r="E64" t="s">
        <v>541</v>
      </c>
      <c r="F64" s="4" t="str">
        <f>HYPERLINK("https://ssb.ee/11291472-ID/otsustajad-kasusaajad","link")</f>
        <v>link</v>
      </c>
      <c r="G64" t="s">
        <v>542</v>
      </c>
      <c r="H64" t="s">
        <v>543</v>
      </c>
      <c r="I64" s="4" t="str">
        <f>HYPERLINK("https://vaala.ee/","link")</f>
        <v>link</v>
      </c>
      <c r="J64" t="s">
        <v>61</v>
      </c>
      <c r="K64" t="s">
        <v>544</v>
      </c>
      <c r="L64" t="s">
        <v>545</v>
      </c>
      <c r="M64" s="4" t="str">
        <f>HYPERLINK("https://ssb.ee/11291472-ID/meedia-arvamuslood","link")</f>
        <v>link</v>
      </c>
      <c r="N64" t="s">
        <v>546</v>
      </c>
      <c r="O64" s="5">
        <v>39049</v>
      </c>
      <c r="P64" t="s">
        <v>47</v>
      </c>
      <c r="Q64" s="6">
        <v>32300</v>
      </c>
      <c r="R64">
        <v>2021</v>
      </c>
      <c r="S64" s="7" t="s">
        <v>47</v>
      </c>
      <c r="T64" s="7" t="s">
        <v>47</v>
      </c>
      <c r="U64" s="7" t="s">
        <v>47</v>
      </c>
      <c r="V64">
        <v>0.01</v>
      </c>
      <c r="W64" s="8" t="s">
        <v>48</v>
      </c>
      <c r="X64" t="s">
        <v>49</v>
      </c>
      <c r="Y64" s="4" t="str">
        <f>HYPERLINK("https://ssb.ee/11291472-ID/kohustused-volad-kohtulahendid","link")</f>
        <v>link</v>
      </c>
      <c r="Z64">
        <v>7220</v>
      </c>
      <c r="AA64" s="4" t="str">
        <f>HYPERLINK("https://ssb.ee/11291472-ID/finantsid-varad-prognoosid","link")</f>
        <v>link</v>
      </c>
      <c r="AB64" s="6">
        <v>98278</v>
      </c>
      <c r="AC64" s="6">
        <v>2735</v>
      </c>
      <c r="AD64" s="6">
        <v>384215</v>
      </c>
      <c r="AE64">
        <v>1</v>
      </c>
      <c r="AF64" s="6">
        <v>1573746</v>
      </c>
      <c r="AG64" s="6">
        <v>1690</v>
      </c>
      <c r="AH64" s="4" t="str">
        <f>HYPERLINK("https://ssb.ee/11291472-ID/tootajad-palgad","link")</f>
        <v>link</v>
      </c>
      <c r="AI64" t="s">
        <v>547</v>
      </c>
      <c r="AJ64">
        <v>0.01</v>
      </c>
      <c r="AK64" s="8" t="s">
        <v>48</v>
      </c>
      <c r="AL64" s="4" t="str">
        <f>HYPERLINK("https://ssb.ee/juhatuse-liikme-cv?id=645171","link")</f>
        <v>link</v>
      </c>
    </row>
    <row r="65" spans="1:38" x14ac:dyDescent="0.25">
      <c r="A65">
        <v>11575666</v>
      </c>
      <c r="B65" t="s">
        <v>548</v>
      </c>
      <c r="C65" s="3">
        <v>39827</v>
      </c>
      <c r="D65" t="s">
        <v>39</v>
      </c>
      <c r="E65" t="s">
        <v>549</v>
      </c>
      <c r="F65" s="4" t="str">
        <f>HYPERLINK("https://ssb.ee/11575666-ID/otsustajad-kasusaajad","link")</f>
        <v>link</v>
      </c>
      <c r="G65" t="s">
        <v>550</v>
      </c>
      <c r="H65" t="s">
        <v>551</v>
      </c>
      <c r="I65" s="4" t="str">
        <f>HYPERLINK("https://www.takko.com/country-selector/","link")</f>
        <v>link</v>
      </c>
      <c r="J65" t="s">
        <v>43</v>
      </c>
      <c r="K65" t="s">
        <v>552</v>
      </c>
      <c r="L65" t="s">
        <v>553</v>
      </c>
      <c r="M65" s="4" t="str">
        <f>HYPERLINK("https://ssb.ee/11575666-ID/meedia-arvamuslood","link")</f>
        <v>link</v>
      </c>
      <c r="N65" t="s">
        <v>554</v>
      </c>
      <c r="O65" s="5">
        <v>39827</v>
      </c>
      <c r="P65" t="s">
        <v>47</v>
      </c>
      <c r="Q65" s="6">
        <v>100000</v>
      </c>
      <c r="R65">
        <v>2021</v>
      </c>
      <c r="S65" s="7" t="s">
        <v>47</v>
      </c>
      <c r="T65" s="7" t="s">
        <v>47</v>
      </c>
      <c r="U65" s="7" t="s">
        <v>47</v>
      </c>
      <c r="V65">
        <v>3.2000000000000001E-2</v>
      </c>
      <c r="W65" s="8" t="s">
        <v>48</v>
      </c>
      <c r="X65" t="s">
        <v>49</v>
      </c>
      <c r="Y65" s="4" t="str">
        <f>HYPERLINK("https://ssb.ee/11575666-ID/kohustused-volad-kohtulahendid","link")</f>
        <v>link</v>
      </c>
      <c r="Z65">
        <v>8970</v>
      </c>
      <c r="AA65" s="4" t="str">
        <f>HYPERLINK("https://ssb.ee/11575666-ID/finantsid-varad-prognoosid","link")</f>
        <v>link</v>
      </c>
      <c r="AB65" s="6">
        <v>468326</v>
      </c>
      <c r="AC65" s="6">
        <v>156900</v>
      </c>
      <c r="AD65" s="6">
        <v>3162605</v>
      </c>
      <c r="AE65">
        <v>96</v>
      </c>
      <c r="AF65" s="6">
        <v>7222816</v>
      </c>
      <c r="AG65" s="6">
        <v>1170</v>
      </c>
      <c r="AH65" s="4" t="str">
        <f>HYPERLINK("https://ssb.ee/11575666-ID/tootajad-palgad","link")</f>
        <v>link</v>
      </c>
      <c r="AI65" t="s">
        <v>555</v>
      </c>
      <c r="AJ65">
        <v>3.4000000000000002E-2</v>
      </c>
      <c r="AK65" s="8" t="s">
        <v>48</v>
      </c>
      <c r="AL65" s="4" t="str">
        <f>HYPERLINK("https://ssb.ee/juhatuse-liikme-cv?id=793230","link")</f>
        <v>link</v>
      </c>
    </row>
    <row r="66" spans="1:38" x14ac:dyDescent="0.25">
      <c r="A66">
        <v>10320390</v>
      </c>
      <c r="B66" t="s">
        <v>556</v>
      </c>
      <c r="C66" s="3">
        <v>35746</v>
      </c>
      <c r="D66" t="s">
        <v>39</v>
      </c>
      <c r="E66" t="s">
        <v>557</v>
      </c>
      <c r="F66" s="4" t="str">
        <f>HYPERLINK("https://ssb.ee/10320390-ID/otsustajad-kasusaajad","link")</f>
        <v>link</v>
      </c>
      <c r="G66" t="s">
        <v>558</v>
      </c>
      <c r="H66" t="s">
        <v>559</v>
      </c>
      <c r="I66" s="4" t="str">
        <f>HYPERLINK("https://enveko.ee/","link")</f>
        <v>link</v>
      </c>
      <c r="J66" t="s">
        <v>81</v>
      </c>
      <c r="K66" t="s">
        <v>264</v>
      </c>
      <c r="L66" t="s">
        <v>265</v>
      </c>
      <c r="M66" s="4" t="str">
        <f>HYPERLINK("https://ssb.ee/10320390-ID/meedia-arvamuslood","link")</f>
        <v>link</v>
      </c>
      <c r="N66" t="s">
        <v>560</v>
      </c>
      <c r="O66" s="5">
        <v>34335</v>
      </c>
      <c r="P66" t="s">
        <v>47</v>
      </c>
      <c r="Q66" s="6">
        <v>14100</v>
      </c>
      <c r="R66">
        <v>2021</v>
      </c>
      <c r="S66" s="7" t="s">
        <v>47</v>
      </c>
      <c r="T66" s="7" t="s">
        <v>47</v>
      </c>
      <c r="U66" s="7" t="s">
        <v>47</v>
      </c>
      <c r="V66">
        <v>0.01</v>
      </c>
      <c r="W66" s="8" t="s">
        <v>48</v>
      </c>
      <c r="X66" t="s">
        <v>49</v>
      </c>
      <c r="Y66" s="4" t="str">
        <f>HYPERLINK("https://ssb.ee/10320390-ID/kohustused-volad-kohtulahendid","link")</f>
        <v>link</v>
      </c>
      <c r="Z66">
        <v>5550</v>
      </c>
      <c r="AA66" s="4" t="str">
        <f>HYPERLINK("https://ssb.ee/10320390-ID/finantsid-varad-prognoosid","link")</f>
        <v>link</v>
      </c>
      <c r="AB66" s="6">
        <v>32458</v>
      </c>
      <c r="AC66" s="6">
        <v>22790</v>
      </c>
      <c r="AD66" s="6">
        <v>155683</v>
      </c>
      <c r="AE66">
        <v>19</v>
      </c>
      <c r="AF66" s="6">
        <v>1334734</v>
      </c>
      <c r="AG66" s="6">
        <v>910</v>
      </c>
      <c r="AH66" s="4" t="str">
        <f>HYPERLINK("https://ssb.ee/10320390-ID/tootajad-palgad","link")</f>
        <v>link</v>
      </c>
      <c r="AI66" t="s">
        <v>561</v>
      </c>
      <c r="AJ66">
        <v>0.01</v>
      </c>
      <c r="AK66" s="8" t="s">
        <v>48</v>
      </c>
      <c r="AL66" s="4" t="str">
        <f>HYPERLINK("https://ssb.ee/juhatuse-liikme-cv?id=502194","link")</f>
        <v>link</v>
      </c>
    </row>
    <row r="67" spans="1:38" x14ac:dyDescent="0.25">
      <c r="A67">
        <v>14456436</v>
      </c>
      <c r="B67" t="s">
        <v>562</v>
      </c>
      <c r="C67" s="3">
        <v>43185</v>
      </c>
      <c r="D67" t="s">
        <v>39</v>
      </c>
      <c r="E67" t="s">
        <v>563</v>
      </c>
      <c r="F67" s="4" t="str">
        <f>HYPERLINK("https://ssb.ee/14456436-ID/otsustajad-kasusaajad","link")</f>
        <v>link</v>
      </c>
      <c r="G67" t="s">
        <v>564</v>
      </c>
      <c r="H67" t="s">
        <v>565</v>
      </c>
      <c r="I67" s="4" t="str">
        <f>HYPERLINK("https://chubaras.ee/","link")</f>
        <v>link</v>
      </c>
      <c r="J67" t="s">
        <v>43</v>
      </c>
      <c r="K67" t="s">
        <v>115</v>
      </c>
      <c r="L67" t="s">
        <v>116</v>
      </c>
      <c r="M67" s="4" t="str">
        <f>HYPERLINK("https://ssb.ee/14456436-ID/meedia-arvamuslood","link")</f>
        <v>link</v>
      </c>
      <c r="N67" t="s">
        <v>47</v>
      </c>
      <c r="O67" t="s">
        <v>47</v>
      </c>
      <c r="P67" t="s">
        <v>47</v>
      </c>
      <c r="Q67" s="6" t="s">
        <v>47</v>
      </c>
      <c r="R67">
        <v>2021</v>
      </c>
      <c r="S67" s="7" t="s">
        <v>47</v>
      </c>
      <c r="T67" s="7" t="s">
        <v>47</v>
      </c>
      <c r="U67" s="7" t="s">
        <v>47</v>
      </c>
      <c r="V67">
        <v>0.01</v>
      </c>
      <c r="W67" s="8" t="s">
        <v>48</v>
      </c>
      <c r="X67" t="s">
        <v>49</v>
      </c>
      <c r="Y67" s="4" t="str">
        <f>HYPERLINK("https://ssb.ee/14456436-ID/kohustused-volad-kohtulahendid","link")</f>
        <v>link</v>
      </c>
      <c r="Z67">
        <v>1890</v>
      </c>
      <c r="AA67" s="4" t="str">
        <f>HYPERLINK("https://ssb.ee/14456436-ID/finantsid-varad-prognoosid","link")</f>
        <v>link</v>
      </c>
      <c r="AB67" s="6" t="s">
        <v>47</v>
      </c>
      <c r="AC67" s="6" t="s">
        <v>47</v>
      </c>
      <c r="AD67" s="6" t="s">
        <v>47</v>
      </c>
      <c r="AE67" t="s">
        <v>47</v>
      </c>
      <c r="AF67" s="6" t="s">
        <v>47</v>
      </c>
      <c r="AG67" s="6" t="s">
        <v>47</v>
      </c>
      <c r="AH67" s="4" t="str">
        <f>HYPERLINK("https://ssb.ee/14456436-ID/tootajad-palgad","link")</f>
        <v>link</v>
      </c>
      <c r="AI67" t="s">
        <v>566</v>
      </c>
      <c r="AJ67">
        <v>0.01</v>
      </c>
      <c r="AK67" s="8" t="s">
        <v>48</v>
      </c>
      <c r="AL67" s="4" t="str">
        <f>HYPERLINK("https://ssb.ee/juhatuse-liikme-cv?id=2160783","link")</f>
        <v>link</v>
      </c>
    </row>
    <row r="68" spans="1:38" x14ac:dyDescent="0.25">
      <c r="A68">
        <v>11137400</v>
      </c>
      <c r="B68" t="s">
        <v>567</v>
      </c>
      <c r="C68" s="3">
        <v>38545</v>
      </c>
      <c r="D68" t="s">
        <v>39</v>
      </c>
      <c r="E68" t="s">
        <v>568</v>
      </c>
      <c r="F68" s="4" t="str">
        <f>HYPERLINK("https://ssb.ee/11137400-ID/otsustajad-kasusaajad","link")</f>
        <v>link</v>
      </c>
      <c r="G68" t="s">
        <v>569</v>
      </c>
      <c r="H68" t="s">
        <v>570</v>
      </c>
      <c r="I68" s="4" t="str">
        <f>HYPERLINK("http://roadwest.ee","link")</f>
        <v>link</v>
      </c>
      <c r="J68" t="s">
        <v>218</v>
      </c>
      <c r="K68" t="s">
        <v>571</v>
      </c>
      <c r="L68" t="s">
        <v>572</v>
      </c>
      <c r="M68" s="4" t="str">
        <f>HYPERLINK("https://ssb.ee/11137400-ID/meedia-arvamuslood","link")</f>
        <v>link</v>
      </c>
      <c r="N68" t="s">
        <v>573</v>
      </c>
      <c r="O68" s="5">
        <v>38553</v>
      </c>
      <c r="P68" t="s">
        <v>47</v>
      </c>
      <c r="Q68" s="6" t="s">
        <v>47</v>
      </c>
      <c r="R68">
        <v>2021</v>
      </c>
      <c r="S68" s="7" t="s">
        <v>574</v>
      </c>
      <c r="T68" s="12">
        <v>44753</v>
      </c>
      <c r="U68" s="7" t="s">
        <v>47</v>
      </c>
      <c r="V68">
        <v>0.999</v>
      </c>
      <c r="W68" s="7" t="s">
        <v>575</v>
      </c>
      <c r="X68" t="s">
        <v>576</v>
      </c>
      <c r="Y68" s="4" t="str">
        <f>HYPERLINK("https://ssb.ee/11137400-ID/kohustused-volad-kohtulahendid","link")</f>
        <v>link</v>
      </c>
      <c r="Z68">
        <v>2500</v>
      </c>
      <c r="AA68" s="4" t="str">
        <f>HYPERLINK("https://ssb.ee/11137400-ID/finantsid-varad-prognoosid","link")</f>
        <v>link</v>
      </c>
      <c r="AB68" s="6">
        <v>103484</v>
      </c>
      <c r="AC68" s="6">
        <v>76873</v>
      </c>
      <c r="AD68" s="6">
        <v>670504</v>
      </c>
      <c r="AE68">
        <v>44</v>
      </c>
      <c r="AF68" s="6">
        <v>2757722</v>
      </c>
      <c r="AG68" s="6">
        <v>1240</v>
      </c>
      <c r="AH68" s="4" t="str">
        <f>HYPERLINK("https://ssb.ee/11137400-ID/tootajad-palgad","link")</f>
        <v>link</v>
      </c>
      <c r="AI68" t="s">
        <v>577</v>
      </c>
      <c r="AJ68">
        <v>0.45200000000000001</v>
      </c>
      <c r="AK68" s="11" t="s">
        <v>150</v>
      </c>
      <c r="AL68" s="4" t="str">
        <f>HYPERLINK("https://ssb.ee/juhatuse-liikme-cv?id=276840","link")</f>
        <v>link</v>
      </c>
    </row>
    <row r="69" spans="1:38" x14ac:dyDescent="0.25">
      <c r="A69">
        <v>75005216</v>
      </c>
      <c r="B69" t="s">
        <v>578</v>
      </c>
      <c r="C69" s="3">
        <v>33956</v>
      </c>
      <c r="D69" t="s">
        <v>39</v>
      </c>
      <c r="E69" t="s">
        <v>579</v>
      </c>
      <c r="F69" s="4" t="str">
        <f>HYPERLINK("https://ssb.ee/75005216-ID/otsustajad-kasusaajad","link")</f>
        <v>link</v>
      </c>
      <c r="G69" t="s">
        <v>580</v>
      </c>
      <c r="H69" t="s">
        <v>581</v>
      </c>
      <c r="I69" s="4" t="str">
        <f>HYPERLINK("https://k1k.ee/","link")</f>
        <v>link</v>
      </c>
      <c r="J69" t="s">
        <v>65</v>
      </c>
      <c r="K69" t="s">
        <v>582</v>
      </c>
      <c r="L69" t="s">
        <v>583</v>
      </c>
      <c r="M69" s="4" t="str">
        <f>HYPERLINK("https://ssb.ee/75005216-ID/meedia-arvamuslood","link")</f>
        <v>link</v>
      </c>
      <c r="N69" t="s">
        <v>47</v>
      </c>
      <c r="O69" t="s">
        <v>47</v>
      </c>
      <c r="P69" t="s">
        <v>47</v>
      </c>
      <c r="Q69" s="6" t="s">
        <v>47</v>
      </c>
      <c r="R69" t="s">
        <v>47</v>
      </c>
      <c r="S69" s="7" t="s">
        <v>47</v>
      </c>
      <c r="T69" s="7" t="s">
        <v>47</v>
      </c>
      <c r="U69" s="7" t="s">
        <v>47</v>
      </c>
      <c r="V69">
        <v>0.01</v>
      </c>
      <c r="W69" s="8" t="s">
        <v>48</v>
      </c>
      <c r="X69" t="s">
        <v>49</v>
      </c>
      <c r="Y69" s="4" t="str">
        <f>HYPERLINK("https://ssb.ee/75005216-ID/kohustused-volad-kohtulahendid","link")</f>
        <v>link</v>
      </c>
      <c r="Z69">
        <v>2020</v>
      </c>
      <c r="AA69" s="4" t="str">
        <f>HYPERLINK("https://ssb.ee/75005216-ID/finantsid-varad-prognoosid","link")</f>
        <v>link</v>
      </c>
      <c r="AB69" s="6" t="s">
        <v>47</v>
      </c>
      <c r="AC69" s="6" t="s">
        <v>47</v>
      </c>
      <c r="AD69" s="6" t="s">
        <v>47</v>
      </c>
      <c r="AE69">
        <v>73</v>
      </c>
      <c r="AF69" s="6" t="s">
        <v>47</v>
      </c>
      <c r="AG69" s="6" t="s">
        <v>47</v>
      </c>
      <c r="AH69" s="4" t="str">
        <f>HYPERLINK("https://ssb.ee/75005216-ID/tootajad-palgad","link")</f>
        <v>link</v>
      </c>
      <c r="AI69" t="s">
        <v>584</v>
      </c>
      <c r="AJ69">
        <v>8.9999999999999993E-3</v>
      </c>
      <c r="AK69" s="8" t="s">
        <v>48</v>
      </c>
      <c r="AL69" s="4" t="str">
        <f>HYPERLINK("https://ssb.ee/juhatuse-liikme-cv?id=593925","link")</f>
        <v>link</v>
      </c>
    </row>
    <row r="70" spans="1:38" x14ac:dyDescent="0.25">
      <c r="A70">
        <v>11995629</v>
      </c>
      <c r="B70" t="s">
        <v>585</v>
      </c>
      <c r="C70" s="3">
        <v>40442</v>
      </c>
      <c r="D70" t="s">
        <v>39</v>
      </c>
      <c r="E70" t="s">
        <v>586</v>
      </c>
      <c r="F70" s="4" t="str">
        <f>HYPERLINK("https://ssb.ee/11995629-ID/otsustajad-kasusaajad","link")</f>
        <v>link</v>
      </c>
      <c r="G70" t="s">
        <v>587</v>
      </c>
      <c r="H70" t="s">
        <v>588</v>
      </c>
      <c r="I70" s="4" t="str">
        <f>HYPERLINK("https://www.duglas.ee/","link")</f>
        <v>link</v>
      </c>
      <c r="J70" t="s">
        <v>223</v>
      </c>
      <c r="K70" t="s">
        <v>589</v>
      </c>
      <c r="L70" t="s">
        <v>590</v>
      </c>
      <c r="M70" s="4" t="str">
        <f>HYPERLINK("https://ssb.ee/11995629-ID/meedia-arvamuslood","link")</f>
        <v>link</v>
      </c>
      <c r="N70" t="s">
        <v>591</v>
      </c>
      <c r="O70" s="5">
        <v>40456</v>
      </c>
      <c r="P70" t="s">
        <v>47</v>
      </c>
      <c r="Q70" s="6">
        <v>5800</v>
      </c>
      <c r="R70">
        <v>2021</v>
      </c>
      <c r="S70" s="7" t="s">
        <v>47</v>
      </c>
      <c r="T70" s="7" t="s">
        <v>47</v>
      </c>
      <c r="U70" s="7" t="s">
        <v>47</v>
      </c>
      <c r="V70">
        <v>0.64300000000000002</v>
      </c>
      <c r="W70" s="10" t="s">
        <v>103</v>
      </c>
      <c r="X70" t="s">
        <v>592</v>
      </c>
      <c r="Y70" s="4" t="str">
        <f>HYPERLINK("https://ssb.ee/11995629-ID/kohustused-volad-kohtulahendid","link")</f>
        <v>link</v>
      </c>
      <c r="Z70">
        <v>2340</v>
      </c>
      <c r="AA70" s="4" t="str">
        <f>HYPERLINK("https://ssb.ee/11995629-ID/finantsid-varad-prognoosid","link")</f>
        <v>link</v>
      </c>
      <c r="AB70" s="6">
        <v>90919</v>
      </c>
      <c r="AC70" s="6">
        <v>63865</v>
      </c>
      <c r="AD70" s="6">
        <v>276590</v>
      </c>
      <c r="AE70">
        <v>27</v>
      </c>
      <c r="AF70" s="6">
        <v>1032131</v>
      </c>
      <c r="AG70" s="6">
        <v>1540</v>
      </c>
      <c r="AH70" s="4" t="str">
        <f>HYPERLINK("https://ssb.ee/11995629-ID/tootajad-palgad","link")</f>
        <v>link</v>
      </c>
      <c r="AI70" t="s">
        <v>593</v>
      </c>
      <c r="AJ70">
        <v>0.107</v>
      </c>
      <c r="AK70" s="8" t="s">
        <v>48</v>
      </c>
      <c r="AL70" s="4" t="str">
        <f>HYPERLINK("https://ssb.ee/juhatuse-liikme-cv?id=356975","link")</f>
        <v>link</v>
      </c>
    </row>
    <row r="71" spans="1:38" x14ac:dyDescent="0.25">
      <c r="A71">
        <v>11052490</v>
      </c>
      <c r="B71" t="s">
        <v>594</v>
      </c>
      <c r="C71" s="3">
        <v>38163</v>
      </c>
      <c r="D71" t="s">
        <v>39</v>
      </c>
      <c r="E71" t="s">
        <v>595</v>
      </c>
      <c r="F71" s="4" t="str">
        <f>HYPERLINK("https://ssb.ee/11052490-ID/otsustajad-kasusaajad","link")</f>
        <v>link</v>
      </c>
      <c r="G71" t="s">
        <v>596</v>
      </c>
      <c r="H71" t="s">
        <v>597</v>
      </c>
      <c r="I71" s="4" t="str">
        <f>HYPERLINK("https://www.parkimine.ee/ ","link")</f>
        <v>link</v>
      </c>
      <c r="J71" t="s">
        <v>81</v>
      </c>
      <c r="K71" t="s">
        <v>598</v>
      </c>
      <c r="L71" t="s">
        <v>599</v>
      </c>
      <c r="M71" s="4" t="str">
        <f>HYPERLINK("https://ssb.ee/11052490-ID/meedia-arvamuslood","link")</f>
        <v>link</v>
      </c>
      <c r="N71" t="s">
        <v>600</v>
      </c>
      <c r="O71" s="5">
        <v>39114</v>
      </c>
      <c r="P71" t="s">
        <v>47</v>
      </c>
      <c r="Q71" s="6">
        <v>100000</v>
      </c>
      <c r="R71">
        <v>2021</v>
      </c>
      <c r="S71" s="7" t="s">
        <v>47</v>
      </c>
      <c r="T71" s="7" t="s">
        <v>47</v>
      </c>
      <c r="U71" s="7" t="s">
        <v>47</v>
      </c>
      <c r="V71">
        <v>0.01</v>
      </c>
      <c r="W71" s="8" t="s">
        <v>48</v>
      </c>
      <c r="X71" t="s">
        <v>49</v>
      </c>
      <c r="Y71" s="4" t="str">
        <f>HYPERLINK("https://ssb.ee/11052490-ID/kohustused-volad-kohtulahendid","link")</f>
        <v>link</v>
      </c>
      <c r="Z71">
        <v>9060</v>
      </c>
      <c r="AA71" s="4" t="str">
        <f>HYPERLINK("https://ssb.ee/11052490-ID/finantsid-varad-prognoosid","link")</f>
        <v>link</v>
      </c>
      <c r="AB71" s="6">
        <v>425963</v>
      </c>
      <c r="AC71" s="6">
        <v>125959</v>
      </c>
      <c r="AD71" s="6">
        <v>1647084</v>
      </c>
      <c r="AE71">
        <v>57</v>
      </c>
      <c r="AF71" s="6">
        <v>6556109</v>
      </c>
      <c r="AG71" s="6">
        <v>1465</v>
      </c>
      <c r="AH71" s="4" t="str">
        <f>HYPERLINK("https://ssb.ee/11052490-ID/tootajad-palgad","link")</f>
        <v>link</v>
      </c>
      <c r="AI71" t="s">
        <v>601</v>
      </c>
      <c r="AJ71">
        <v>0.40400000000000003</v>
      </c>
      <c r="AK71" s="11" t="s">
        <v>150</v>
      </c>
      <c r="AL71" s="4" t="str">
        <f>HYPERLINK("https://ssb.ee/juhatuse-liikme-cv?id=433196","link")</f>
        <v>link</v>
      </c>
    </row>
    <row r="72" spans="1:38" x14ac:dyDescent="0.25">
      <c r="A72">
        <v>16053837</v>
      </c>
      <c r="B72" t="s">
        <v>602</v>
      </c>
      <c r="C72" s="3">
        <v>44090</v>
      </c>
      <c r="D72" t="s">
        <v>39</v>
      </c>
      <c r="E72" t="s">
        <v>603</v>
      </c>
      <c r="F72" s="4" t="str">
        <f>HYPERLINK("https://ssb.ee/16053837-ID/otsustajad-kasusaajad","link")</f>
        <v>link</v>
      </c>
      <c r="G72" t="s">
        <v>604</v>
      </c>
      <c r="H72" t="s">
        <v>605</v>
      </c>
      <c r="I72" s="4" t="str">
        <f>HYPERLINK("https://www.ejtc.eu/","link")</f>
        <v>link</v>
      </c>
      <c r="J72" t="s">
        <v>62</v>
      </c>
      <c r="K72" t="s">
        <v>212</v>
      </c>
      <c r="L72" t="s">
        <v>213</v>
      </c>
      <c r="M72" s="4" t="str">
        <f>HYPERLINK("https://ssb.ee/16053837-ID/meedia-arvamuslood","link")</f>
        <v>link</v>
      </c>
      <c r="N72" t="s">
        <v>606</v>
      </c>
      <c r="O72" s="5">
        <v>44158</v>
      </c>
      <c r="P72" t="s">
        <v>47</v>
      </c>
      <c r="Q72" s="6">
        <v>1100</v>
      </c>
      <c r="R72">
        <v>2021</v>
      </c>
      <c r="S72" s="7" t="s">
        <v>47</v>
      </c>
      <c r="T72" s="7" t="s">
        <v>47</v>
      </c>
      <c r="U72" s="7" t="s">
        <v>47</v>
      </c>
      <c r="V72">
        <v>2.3E-2</v>
      </c>
      <c r="W72" s="8" t="s">
        <v>48</v>
      </c>
      <c r="X72" t="s">
        <v>49</v>
      </c>
      <c r="Y72" s="4" t="str">
        <f>HYPERLINK("https://ssb.ee/16053837-ID/kohustused-volad-kohtulahendid","link")</f>
        <v>link</v>
      </c>
      <c r="Z72">
        <v>3310</v>
      </c>
      <c r="AA72" s="4" t="str">
        <f>HYPERLINK("https://ssb.ee/16053837-ID/finantsid-varad-prognoosid","link")</f>
        <v>link</v>
      </c>
      <c r="AB72" s="6">
        <v>7890</v>
      </c>
      <c r="AC72" s="6">
        <v>8190</v>
      </c>
      <c r="AD72" s="6">
        <v>45</v>
      </c>
      <c r="AE72" t="s">
        <v>47</v>
      </c>
      <c r="AF72" s="6">
        <v>182</v>
      </c>
      <c r="AG72" s="6" t="s">
        <v>47</v>
      </c>
      <c r="AH72" s="4" t="str">
        <f>HYPERLINK("https://ssb.ee/16053837-ID/tootajad-palgad","link")</f>
        <v>link</v>
      </c>
      <c r="AI72" t="s">
        <v>607</v>
      </c>
      <c r="AJ72">
        <v>0.499</v>
      </c>
      <c r="AK72" s="11" t="s">
        <v>150</v>
      </c>
      <c r="AL72" s="4" t="str">
        <f>HYPERLINK("https://ssb.ee/juhatuse-liikme-cv?id=1487162","link")</f>
        <v>link</v>
      </c>
    </row>
    <row r="73" spans="1:38" x14ac:dyDescent="0.25">
      <c r="A73">
        <v>70006197</v>
      </c>
      <c r="B73" t="s">
        <v>608</v>
      </c>
      <c r="C73" s="3">
        <v>37085</v>
      </c>
      <c r="D73" t="s">
        <v>39</v>
      </c>
      <c r="E73" t="s">
        <v>609</v>
      </c>
      <c r="F73" s="4" t="str">
        <f>HYPERLINK("https://ssb.ee/70006197-ID/otsustajad-kasusaajad","link")</f>
        <v>link</v>
      </c>
      <c r="G73" t="s">
        <v>610</v>
      </c>
      <c r="H73" t="s">
        <v>611</v>
      </c>
      <c r="I73" s="4" t="str">
        <f>HYPERLINK("https://kammerikool.ee/","link")</f>
        <v>link</v>
      </c>
      <c r="J73" t="s">
        <v>65</v>
      </c>
      <c r="K73" t="s">
        <v>443</v>
      </c>
      <c r="L73" t="s">
        <v>444</v>
      </c>
      <c r="M73" s="4" t="str">
        <f>HYPERLINK("https://ssb.ee/70006197-ID/meedia-arvamuslood","link")</f>
        <v>link</v>
      </c>
      <c r="N73" t="s">
        <v>47</v>
      </c>
      <c r="O73" t="s">
        <v>47</v>
      </c>
      <c r="P73" t="s">
        <v>47</v>
      </c>
      <c r="Q73" s="6">
        <v>9400</v>
      </c>
      <c r="R73" t="s">
        <v>47</v>
      </c>
      <c r="S73" s="7" t="s">
        <v>47</v>
      </c>
      <c r="T73" s="7" t="s">
        <v>47</v>
      </c>
      <c r="U73" s="7" t="s">
        <v>47</v>
      </c>
      <c r="V73">
        <v>1.2999999999999999E-2</v>
      </c>
      <c r="W73" s="8" t="s">
        <v>48</v>
      </c>
      <c r="X73" t="s">
        <v>49</v>
      </c>
      <c r="Y73" s="4" t="str">
        <f>HYPERLINK("https://ssb.ee/70006197-ID/kohustused-volad-kohtulahendid","link")</f>
        <v>link</v>
      </c>
      <c r="Z73">
        <v>2470</v>
      </c>
      <c r="AA73" s="4" t="str">
        <f>HYPERLINK("https://ssb.ee/70006197-ID/finantsid-varad-prognoosid","link")</f>
        <v>link</v>
      </c>
      <c r="AB73" s="6">
        <v>68173</v>
      </c>
      <c r="AC73" s="6">
        <v>73110</v>
      </c>
      <c r="AD73" s="6" t="s">
        <v>47</v>
      </c>
      <c r="AE73">
        <v>35</v>
      </c>
      <c r="AF73" s="6" t="s">
        <v>47</v>
      </c>
      <c r="AG73" s="6">
        <v>1390</v>
      </c>
      <c r="AH73" s="4" t="str">
        <f>HYPERLINK("https://ssb.ee/70006197-ID/tootajad-palgad","link")</f>
        <v>link</v>
      </c>
      <c r="AI73" t="s">
        <v>612</v>
      </c>
      <c r="AJ73">
        <v>1.7000000000000001E-2</v>
      </c>
      <c r="AK73" s="8" t="s">
        <v>48</v>
      </c>
      <c r="AL73" s="4" t="str">
        <f>HYPERLINK("https://ssb.ee/juhatuse-liikme-cv?id=740246","link")</f>
        <v>link</v>
      </c>
    </row>
    <row r="74" spans="1:38" x14ac:dyDescent="0.25">
      <c r="A74">
        <v>90008666</v>
      </c>
      <c r="B74" t="s">
        <v>613</v>
      </c>
      <c r="C74" s="3">
        <v>38321</v>
      </c>
      <c r="D74" t="s">
        <v>39</v>
      </c>
      <c r="E74" t="s">
        <v>614</v>
      </c>
      <c r="F74" s="4" t="str">
        <f>HYPERLINK("https://ssb.ee/90008666-ID/otsustajad-kasusaajad","link")</f>
        <v>link</v>
      </c>
      <c r="G74" t="s">
        <v>615</v>
      </c>
      <c r="H74" t="s">
        <v>616</v>
      </c>
      <c r="I74" s="4" t="str">
        <f>HYPERLINK("https://veneteater.ee/","link")</f>
        <v>link</v>
      </c>
      <c r="J74" t="s">
        <v>228</v>
      </c>
      <c r="K74" t="s">
        <v>617</v>
      </c>
      <c r="L74" t="s">
        <v>618</v>
      </c>
      <c r="M74" s="4" t="str">
        <f>HYPERLINK("https://ssb.ee/90008666-ID/meedia-arvamuslood","link")</f>
        <v>link</v>
      </c>
      <c r="N74" t="s">
        <v>619</v>
      </c>
      <c r="O74" s="5">
        <v>38356</v>
      </c>
      <c r="P74" t="s">
        <v>47</v>
      </c>
      <c r="Q74" s="6">
        <v>49500</v>
      </c>
      <c r="R74">
        <v>2021</v>
      </c>
      <c r="S74" s="7" t="s">
        <v>47</v>
      </c>
      <c r="T74" s="7" t="s">
        <v>47</v>
      </c>
      <c r="U74" s="7" t="s">
        <v>47</v>
      </c>
      <c r="V74">
        <v>0.01</v>
      </c>
      <c r="W74" s="8" t="s">
        <v>48</v>
      </c>
      <c r="X74" t="s">
        <v>49</v>
      </c>
      <c r="Y74" s="4" t="str">
        <f>HYPERLINK("https://ssb.ee/90008666-ID/kohustused-volad-kohtulahendid","link")</f>
        <v>link</v>
      </c>
      <c r="Z74">
        <v>10390</v>
      </c>
      <c r="AA74" s="4" t="str">
        <f>HYPERLINK("https://ssb.ee/90008666-ID/finantsid-varad-prognoosid","link")</f>
        <v>link</v>
      </c>
      <c r="AB74" s="6">
        <v>246014</v>
      </c>
      <c r="AC74" s="6">
        <v>243100</v>
      </c>
      <c r="AD74" s="6">
        <v>253488</v>
      </c>
      <c r="AE74">
        <v>141</v>
      </c>
      <c r="AF74" s="6">
        <v>4390716</v>
      </c>
      <c r="AG74" s="6">
        <v>1240</v>
      </c>
      <c r="AH74" s="4" t="str">
        <f>HYPERLINK("https://ssb.ee/90008666-ID/tootajad-palgad","link")</f>
        <v>link</v>
      </c>
      <c r="AI74" t="s">
        <v>620</v>
      </c>
      <c r="AJ74">
        <v>1.0999999999999999E-2</v>
      </c>
      <c r="AK74" s="8" t="s">
        <v>48</v>
      </c>
      <c r="AL74" s="4" t="str">
        <f>HYPERLINK("https://ssb.ee/juhatuse-liikme-cv?id=666591","link")</f>
        <v>link</v>
      </c>
    </row>
    <row r="75" spans="1:38" x14ac:dyDescent="0.25">
      <c r="A75">
        <v>10173701</v>
      </c>
      <c r="B75" t="s">
        <v>621</v>
      </c>
      <c r="C75" s="3">
        <v>35409</v>
      </c>
      <c r="D75" t="s">
        <v>39</v>
      </c>
      <c r="E75" t="s">
        <v>622</v>
      </c>
      <c r="F75" s="4" t="str">
        <f>HYPERLINK("https://ssb.ee/10173701-ID/otsustajad-kasusaajad","link")</f>
        <v>link</v>
      </c>
      <c r="G75" t="s">
        <v>623</v>
      </c>
      <c r="H75" t="s">
        <v>624</v>
      </c>
      <c r="I75" s="4" t="str">
        <f>HYPERLINK("https://balsnack.ee/","link")</f>
        <v>link</v>
      </c>
      <c r="J75" t="s">
        <v>196</v>
      </c>
      <c r="K75" t="s">
        <v>625</v>
      </c>
      <c r="L75" t="s">
        <v>626</v>
      </c>
      <c r="M75" s="4" t="str">
        <f>HYPERLINK("https://ssb.ee/10173701-ID/meedia-arvamuslood","link")</f>
        <v>link</v>
      </c>
      <c r="N75" t="s">
        <v>627</v>
      </c>
      <c r="O75" s="5">
        <v>35431</v>
      </c>
      <c r="P75" t="s">
        <v>47</v>
      </c>
      <c r="Q75" s="6">
        <v>100000</v>
      </c>
      <c r="R75">
        <v>2021</v>
      </c>
      <c r="S75" s="7" t="s">
        <v>47</v>
      </c>
      <c r="T75" s="7" t="s">
        <v>47</v>
      </c>
      <c r="U75" s="7" t="s">
        <v>47</v>
      </c>
      <c r="V75">
        <v>0.01</v>
      </c>
      <c r="W75" s="8" t="s">
        <v>48</v>
      </c>
      <c r="X75" t="s">
        <v>49</v>
      </c>
      <c r="Y75" s="4" t="str">
        <f>HYPERLINK("https://ssb.ee/10173701-ID/kohustused-volad-kohtulahendid","link")</f>
        <v>link</v>
      </c>
      <c r="Z75">
        <v>10200</v>
      </c>
      <c r="AA75" s="4" t="str">
        <f>HYPERLINK("https://ssb.ee/10173701-ID/finantsid-varad-prognoosid","link")</f>
        <v>link</v>
      </c>
      <c r="AB75" s="6">
        <v>146285</v>
      </c>
      <c r="AC75" s="6">
        <v>149729</v>
      </c>
      <c r="AD75" s="6">
        <v>2164983</v>
      </c>
      <c r="AE75">
        <v>70</v>
      </c>
      <c r="AF75" s="6">
        <v>8103181</v>
      </c>
      <c r="AG75" s="6">
        <v>1465</v>
      </c>
      <c r="AH75" s="4" t="str">
        <f>HYPERLINK("https://ssb.ee/10173701-ID/tootajad-palgad","link")</f>
        <v>link</v>
      </c>
      <c r="AI75" t="s">
        <v>628</v>
      </c>
      <c r="AJ75">
        <v>0.55300000000000005</v>
      </c>
      <c r="AK75" s="11" t="s">
        <v>150</v>
      </c>
      <c r="AL75" s="4" t="str">
        <f>HYPERLINK("https://ssb.ee/juhatuse-liikme-cv?id=284794","link")</f>
        <v>link</v>
      </c>
    </row>
    <row r="76" spans="1:38" x14ac:dyDescent="0.25">
      <c r="A76">
        <v>11378581</v>
      </c>
      <c r="B76" t="s">
        <v>629</v>
      </c>
      <c r="C76" s="3">
        <v>39239</v>
      </c>
      <c r="D76" t="s">
        <v>39</v>
      </c>
      <c r="E76" t="s">
        <v>630</v>
      </c>
      <c r="F76" s="4" t="str">
        <f>HYPERLINK("https://ssb.ee/11378581-ID/otsustajad-kasusaajad","link")</f>
        <v>link</v>
      </c>
      <c r="G76" t="s">
        <v>631</v>
      </c>
      <c r="H76" t="s">
        <v>632</v>
      </c>
      <c r="I76" s="4" t="str">
        <f>HYPERLINK("https://bwg.ee/","link")</f>
        <v>link</v>
      </c>
      <c r="J76" t="s">
        <v>81</v>
      </c>
      <c r="K76" t="s">
        <v>633</v>
      </c>
      <c r="L76" t="s">
        <v>634</v>
      </c>
      <c r="M76" s="4" t="str">
        <f>HYPERLINK("https://ssb.ee/11378581-ID/meedia-arvamuslood","link")</f>
        <v>link</v>
      </c>
      <c r="N76" t="s">
        <v>635</v>
      </c>
      <c r="O76" s="5">
        <v>39377</v>
      </c>
      <c r="P76" t="s">
        <v>47</v>
      </c>
      <c r="Q76" s="6">
        <v>100000</v>
      </c>
      <c r="R76">
        <v>2020</v>
      </c>
      <c r="S76" s="7" t="s">
        <v>47</v>
      </c>
      <c r="T76" s="7" t="s">
        <v>47</v>
      </c>
      <c r="U76" s="7" t="s">
        <v>47</v>
      </c>
      <c r="V76">
        <v>0.01</v>
      </c>
      <c r="W76" s="8" t="s">
        <v>48</v>
      </c>
      <c r="X76" t="s">
        <v>49</v>
      </c>
      <c r="Y76" s="4" t="str">
        <f>HYPERLINK("https://ssb.ee/11378581-ID/kohustused-volad-kohtulahendid","link")</f>
        <v>link</v>
      </c>
      <c r="Z76">
        <v>3110</v>
      </c>
      <c r="AA76" s="4" t="str">
        <f>HYPERLINK("https://ssb.ee/11378581-ID/finantsid-varad-prognoosid","link")</f>
        <v>link</v>
      </c>
      <c r="AB76" s="6">
        <v>218631</v>
      </c>
      <c r="AC76" s="6">
        <v>45471</v>
      </c>
      <c r="AD76" s="6">
        <v>3940357</v>
      </c>
      <c r="AE76">
        <v>9</v>
      </c>
      <c r="AF76" s="6">
        <v>11523240</v>
      </c>
      <c r="AG76" s="6">
        <v>2985</v>
      </c>
      <c r="AH76" s="4" t="str">
        <f>HYPERLINK("https://ssb.ee/11378581-ID/tootajad-palgad","link")</f>
        <v>link</v>
      </c>
      <c r="AI76" t="s">
        <v>636</v>
      </c>
      <c r="AJ76">
        <v>1.0999999999999999E-2</v>
      </c>
      <c r="AK76" s="8" t="s">
        <v>48</v>
      </c>
      <c r="AL76" s="4" t="str">
        <f>HYPERLINK("https://ssb.ee/juhatuse-liikme-cv?id=329891","link")</f>
        <v>link</v>
      </c>
    </row>
    <row r="77" spans="1:38" x14ac:dyDescent="0.25">
      <c r="A77">
        <v>10378981</v>
      </c>
      <c r="B77" t="s">
        <v>637</v>
      </c>
      <c r="C77" s="3">
        <v>35837</v>
      </c>
      <c r="D77" t="s">
        <v>39</v>
      </c>
      <c r="E77" t="s">
        <v>638</v>
      </c>
      <c r="F77" s="4" t="str">
        <f>HYPERLINK("https://ssb.ee/10378981-ID/otsustajad-kasusaajad","link")</f>
        <v>link</v>
      </c>
      <c r="G77" t="s">
        <v>639</v>
      </c>
      <c r="H77" t="s">
        <v>640</v>
      </c>
      <c r="I77" s="4" t="str">
        <f>HYPERLINK("http://silwi.com","link")</f>
        <v>link</v>
      </c>
      <c r="J77" t="s">
        <v>43</v>
      </c>
      <c r="K77" t="s">
        <v>641</v>
      </c>
      <c r="L77" t="s">
        <v>642</v>
      </c>
      <c r="M77" s="4" t="str">
        <f>HYPERLINK("https://ssb.ee/10378981-ID/meedia-arvamuslood","link")</f>
        <v>link</v>
      </c>
      <c r="N77" t="s">
        <v>643</v>
      </c>
      <c r="O77" s="5">
        <v>35855</v>
      </c>
      <c r="P77" t="s">
        <v>47</v>
      </c>
      <c r="Q77" s="6">
        <v>36400</v>
      </c>
      <c r="R77">
        <v>2021</v>
      </c>
      <c r="S77" s="7" t="s">
        <v>47</v>
      </c>
      <c r="T77" s="7" t="s">
        <v>47</v>
      </c>
      <c r="U77" s="7" t="s">
        <v>47</v>
      </c>
      <c r="V77">
        <v>0.01</v>
      </c>
      <c r="W77" s="8" t="s">
        <v>48</v>
      </c>
      <c r="X77" t="s">
        <v>49</v>
      </c>
      <c r="Y77" s="4" t="str">
        <f>HYPERLINK("https://ssb.ee/10378981-ID/kohustused-volad-kohtulahendid","link")</f>
        <v>link</v>
      </c>
      <c r="Z77">
        <v>5710</v>
      </c>
      <c r="AA77" s="4" t="str">
        <f>HYPERLINK("https://ssb.ee/10378981-ID/finantsid-varad-prognoosid","link")</f>
        <v>link</v>
      </c>
      <c r="AB77" s="6">
        <v>71415</v>
      </c>
      <c r="AC77" s="6">
        <v>50503</v>
      </c>
      <c r="AD77" s="6">
        <v>423718</v>
      </c>
      <c r="AE77">
        <v>18</v>
      </c>
      <c r="AF77" s="6">
        <v>1982714</v>
      </c>
      <c r="AG77" s="6">
        <v>1770</v>
      </c>
      <c r="AH77" s="4" t="str">
        <f>HYPERLINK("https://ssb.ee/10378981-ID/tootajad-palgad","link")</f>
        <v>link</v>
      </c>
      <c r="AI77" t="s">
        <v>644</v>
      </c>
      <c r="AJ77">
        <v>0.01</v>
      </c>
      <c r="AK77" s="8" t="s">
        <v>48</v>
      </c>
      <c r="AL77" s="4" t="str">
        <f>HYPERLINK("https://ssb.ee/juhatuse-liikme-cv?id=382138","link")</f>
        <v>link</v>
      </c>
    </row>
    <row r="78" spans="1:38" x14ac:dyDescent="0.25">
      <c r="A78">
        <v>10407079</v>
      </c>
      <c r="B78" t="s">
        <v>645</v>
      </c>
      <c r="C78" s="3">
        <v>34335</v>
      </c>
      <c r="D78" t="s">
        <v>39</v>
      </c>
      <c r="E78" t="s">
        <v>646</v>
      </c>
      <c r="F78" s="4" t="str">
        <f>HYPERLINK("https://ssb.ee/10407079-ID/otsustajad-kasusaajad","link")</f>
        <v>link</v>
      </c>
      <c r="G78" t="s">
        <v>647</v>
      </c>
      <c r="H78" t="s">
        <v>648</v>
      </c>
      <c r="I78" s="4" t="str">
        <f>HYPERLINK("http://kumnamois.ee ","link")</f>
        <v>link</v>
      </c>
      <c r="J78" t="s">
        <v>43</v>
      </c>
      <c r="K78" t="s">
        <v>649</v>
      </c>
      <c r="L78" t="s">
        <v>650</v>
      </c>
      <c r="M78" s="4" t="str">
        <f>HYPERLINK("https://ssb.ee/10407079-ID/meedia-arvamuslood","link")</f>
        <v>link</v>
      </c>
      <c r="N78" t="s">
        <v>651</v>
      </c>
      <c r="O78" s="5">
        <v>34335</v>
      </c>
      <c r="P78" t="s">
        <v>47</v>
      </c>
      <c r="Q78" s="6">
        <v>100000</v>
      </c>
      <c r="R78">
        <v>2021</v>
      </c>
      <c r="S78" s="7" t="s">
        <v>47</v>
      </c>
      <c r="T78" s="7" t="s">
        <v>47</v>
      </c>
      <c r="U78" s="7" t="s">
        <v>47</v>
      </c>
      <c r="V78">
        <v>0.01</v>
      </c>
      <c r="W78" s="8" t="s">
        <v>48</v>
      </c>
      <c r="X78" t="s">
        <v>49</v>
      </c>
      <c r="Y78" s="4" t="str">
        <f>HYPERLINK("https://ssb.ee/10407079-ID/kohustused-volad-kohtulahendid","link")</f>
        <v>link</v>
      </c>
      <c r="Z78">
        <v>5880</v>
      </c>
      <c r="AA78" s="4" t="str">
        <f>HYPERLINK("https://ssb.ee/10407079-ID/finantsid-varad-prognoosid","link")</f>
        <v>link</v>
      </c>
      <c r="AB78" s="6">
        <v>145516</v>
      </c>
      <c r="AC78" s="6">
        <v>39708</v>
      </c>
      <c r="AD78" s="6">
        <v>1603589</v>
      </c>
      <c r="AE78">
        <v>18</v>
      </c>
      <c r="AF78" s="6">
        <v>5065710</v>
      </c>
      <c r="AG78" s="6">
        <v>1465</v>
      </c>
      <c r="AH78" s="4" t="str">
        <f>HYPERLINK("https://ssb.ee/10407079-ID/tootajad-palgad","link")</f>
        <v>link</v>
      </c>
      <c r="AI78" t="s">
        <v>652</v>
      </c>
      <c r="AJ78">
        <v>0.01</v>
      </c>
      <c r="AK78" s="8" t="s">
        <v>48</v>
      </c>
      <c r="AL78" s="4" t="str">
        <f>HYPERLINK("https://ssb.ee/juhatuse-liikme-cv?id=370936","link")</f>
        <v>link</v>
      </c>
    </row>
    <row r="79" spans="1:38" x14ac:dyDescent="0.25">
      <c r="A79">
        <v>90003172</v>
      </c>
      <c r="B79" t="s">
        <v>653</v>
      </c>
      <c r="C79" s="3">
        <v>37097</v>
      </c>
      <c r="D79" t="s">
        <v>39</v>
      </c>
      <c r="E79" t="s">
        <v>654</v>
      </c>
      <c r="F79" s="4" t="str">
        <f>HYPERLINK("https://ssb.ee/90003172-ID/otsustajad-kasusaajad","link")</f>
        <v>link</v>
      </c>
      <c r="G79" t="s">
        <v>655</v>
      </c>
      <c r="H79" t="s">
        <v>656</v>
      </c>
      <c r="I79" s="4" t="str">
        <f>HYPERLINK("https://kaarekodu.ee/ ","link")</f>
        <v>link</v>
      </c>
      <c r="J79" t="s">
        <v>143</v>
      </c>
      <c r="K79" t="s">
        <v>144</v>
      </c>
      <c r="L79" t="s">
        <v>145</v>
      </c>
      <c r="M79" s="4" t="str">
        <f>HYPERLINK("https://ssb.ee/90003172-ID/meedia-arvamuslood","link")</f>
        <v>link</v>
      </c>
      <c r="N79" t="s">
        <v>657</v>
      </c>
      <c r="O79" s="5">
        <v>44021</v>
      </c>
      <c r="P79" t="s">
        <v>658</v>
      </c>
      <c r="Q79" s="6">
        <v>6900</v>
      </c>
      <c r="R79">
        <v>2021</v>
      </c>
      <c r="S79" s="7" t="s">
        <v>47</v>
      </c>
      <c r="T79" s="7" t="s">
        <v>47</v>
      </c>
      <c r="U79" s="7" t="s">
        <v>47</v>
      </c>
      <c r="V79">
        <v>9.6000000000000002E-2</v>
      </c>
      <c r="W79" s="8" t="s">
        <v>48</v>
      </c>
      <c r="X79" t="s">
        <v>49</v>
      </c>
      <c r="Y79" s="4" t="str">
        <f>HYPERLINK("https://ssb.ee/90003172-ID/kohustused-volad-kohtulahendid","link")</f>
        <v>link</v>
      </c>
      <c r="Z79">
        <v>2420</v>
      </c>
      <c r="AA79" s="4" t="str">
        <f>HYPERLINK("https://ssb.ee/90003172-ID/finantsid-varad-prognoosid","link")</f>
        <v>link</v>
      </c>
      <c r="AB79" s="6">
        <v>47138</v>
      </c>
      <c r="AC79" s="6">
        <v>46053</v>
      </c>
      <c r="AD79" s="6">
        <v>10482</v>
      </c>
      <c r="AE79">
        <v>32</v>
      </c>
      <c r="AF79" s="6">
        <v>847682</v>
      </c>
      <c r="AG79" s="6">
        <v>1040</v>
      </c>
      <c r="AH79" s="4" t="str">
        <f>HYPERLINK("https://ssb.ee/90003172-ID/tootajad-palgad","link")</f>
        <v>link</v>
      </c>
      <c r="AI79" t="s">
        <v>659</v>
      </c>
      <c r="AJ79">
        <v>0.126</v>
      </c>
      <c r="AK79" s="8" t="s">
        <v>48</v>
      </c>
      <c r="AL79" s="4" t="str">
        <f>HYPERLINK("https://ssb.ee/juhatuse-liikme-cv?id=2116176","link")</f>
        <v>link</v>
      </c>
    </row>
    <row r="80" spans="1:38" x14ac:dyDescent="0.25">
      <c r="A80">
        <v>10015362</v>
      </c>
      <c r="B80" t="s">
        <v>660</v>
      </c>
      <c r="C80" s="3">
        <v>35135</v>
      </c>
      <c r="D80" t="s">
        <v>39</v>
      </c>
      <c r="E80" t="s">
        <v>661</v>
      </c>
      <c r="F80" s="4" t="str">
        <f>HYPERLINK("https://ssb.ee/10015362-ID/otsustajad-kasusaajad","link")</f>
        <v>link</v>
      </c>
      <c r="G80" t="s">
        <v>662</v>
      </c>
      <c r="H80" t="s">
        <v>663</v>
      </c>
      <c r="I80" s="4" t="str">
        <f>HYPERLINK("https://taufauto.ee/","link")</f>
        <v>link</v>
      </c>
      <c r="J80" t="s">
        <v>43</v>
      </c>
      <c r="K80" t="s">
        <v>508</v>
      </c>
      <c r="L80" t="s">
        <v>321</v>
      </c>
      <c r="M80" s="4" t="str">
        <f>HYPERLINK("https://ssb.ee/10015362-ID/meedia-arvamuslood","link")</f>
        <v>link</v>
      </c>
      <c r="N80" t="s">
        <v>664</v>
      </c>
      <c r="O80" s="5">
        <v>35156</v>
      </c>
      <c r="P80" t="s">
        <v>47</v>
      </c>
      <c r="Q80" s="6">
        <v>100000</v>
      </c>
      <c r="R80">
        <v>2021</v>
      </c>
      <c r="S80" s="7" t="s">
        <v>47</v>
      </c>
      <c r="T80" s="7" t="s">
        <v>47</v>
      </c>
      <c r="U80" s="7" t="s">
        <v>47</v>
      </c>
      <c r="V80">
        <v>0.01</v>
      </c>
      <c r="W80" s="8" t="s">
        <v>48</v>
      </c>
      <c r="X80" t="s">
        <v>49</v>
      </c>
      <c r="Y80" s="4" t="str">
        <f>HYPERLINK("https://ssb.ee/10015362-ID/kohustused-volad-kohtulahendid","link")</f>
        <v>link</v>
      </c>
      <c r="Z80">
        <v>3510</v>
      </c>
      <c r="AA80" s="4" t="str">
        <f>HYPERLINK("https://ssb.ee/10015362-ID/finantsid-varad-prognoosid","link")</f>
        <v>link</v>
      </c>
      <c r="AB80" s="6">
        <v>144845</v>
      </c>
      <c r="AC80" s="6">
        <v>16319</v>
      </c>
      <c r="AD80" s="6">
        <v>1467128</v>
      </c>
      <c r="AE80">
        <v>10</v>
      </c>
      <c r="AF80" s="6">
        <v>3208609</v>
      </c>
      <c r="AG80" s="6">
        <v>1170</v>
      </c>
      <c r="AH80" s="4" t="str">
        <f>HYPERLINK("https://ssb.ee/10015362-ID/tootajad-palgad","link")</f>
        <v>link</v>
      </c>
      <c r="AI80" t="s">
        <v>665</v>
      </c>
      <c r="AJ80">
        <v>0.01</v>
      </c>
      <c r="AK80" s="8" t="s">
        <v>48</v>
      </c>
      <c r="AL80" s="4" t="str">
        <f>HYPERLINK("https://ssb.ee/juhatuse-liikme-cv?id=2109248","link")</f>
        <v>link</v>
      </c>
    </row>
    <row r="81" spans="1:38" x14ac:dyDescent="0.25">
      <c r="A81">
        <v>10314018</v>
      </c>
      <c r="B81" t="s">
        <v>666</v>
      </c>
      <c r="C81" s="3">
        <v>34700</v>
      </c>
      <c r="D81" t="s">
        <v>39</v>
      </c>
      <c r="E81" t="s">
        <v>667</v>
      </c>
      <c r="F81" s="4" t="str">
        <f>HYPERLINK("https://ssb.ee/10314018-ID/otsustajad-kasusaajad","link")</f>
        <v>link</v>
      </c>
      <c r="G81" t="s">
        <v>668</v>
      </c>
      <c r="H81" t="s">
        <v>669</v>
      </c>
      <c r="I81" s="4" t="str">
        <f>HYPERLINK("https://kolmeks.com/en/frontpage/","link")</f>
        <v>link</v>
      </c>
      <c r="J81" t="s">
        <v>196</v>
      </c>
      <c r="K81" t="s">
        <v>670</v>
      </c>
      <c r="L81" t="s">
        <v>671</v>
      </c>
      <c r="M81" s="4" t="str">
        <f>HYPERLINK("https://ssb.ee/10314018-ID/meedia-arvamuslood","link")</f>
        <v>link</v>
      </c>
      <c r="N81" t="s">
        <v>672</v>
      </c>
      <c r="O81" s="5">
        <v>34700</v>
      </c>
      <c r="P81" t="s">
        <v>47</v>
      </c>
      <c r="Q81" s="6">
        <v>100000</v>
      </c>
      <c r="R81">
        <v>2021</v>
      </c>
      <c r="S81" s="7" t="s">
        <v>47</v>
      </c>
      <c r="T81" s="7" t="s">
        <v>47</v>
      </c>
      <c r="U81" s="7" t="s">
        <v>47</v>
      </c>
      <c r="V81">
        <v>0.01</v>
      </c>
      <c r="W81" s="8" t="s">
        <v>48</v>
      </c>
      <c r="X81" t="s">
        <v>49</v>
      </c>
      <c r="Y81" s="4" t="str">
        <f>HYPERLINK("https://ssb.ee/10314018-ID/kohustused-volad-kohtulahendid","link")</f>
        <v>link</v>
      </c>
      <c r="Z81">
        <v>27150</v>
      </c>
      <c r="AA81" s="4" t="str">
        <f>HYPERLINK("https://ssb.ee/10314018-ID/finantsid-varad-prognoosid","link")</f>
        <v>link</v>
      </c>
      <c r="AB81" s="6">
        <v>483942</v>
      </c>
      <c r="AC81" s="6">
        <v>437102</v>
      </c>
      <c r="AD81" s="6">
        <v>10441371</v>
      </c>
      <c r="AE81">
        <v>167</v>
      </c>
      <c r="AF81" s="6">
        <v>28632128</v>
      </c>
      <c r="AG81" s="6">
        <v>1690</v>
      </c>
      <c r="AH81" s="4" t="str">
        <f>HYPERLINK("https://ssb.ee/10314018-ID/tootajad-palgad","link")</f>
        <v>link</v>
      </c>
      <c r="AI81" t="s">
        <v>673</v>
      </c>
      <c r="AJ81">
        <v>0.01</v>
      </c>
      <c r="AK81" s="8" t="s">
        <v>48</v>
      </c>
      <c r="AL81" s="4" t="str">
        <f>HYPERLINK("https://ssb.ee/juhatuse-liikme-cv?id=278024","link")</f>
        <v>link</v>
      </c>
    </row>
    <row r="82" spans="1:38" x14ac:dyDescent="0.25">
      <c r="A82">
        <v>11862070</v>
      </c>
      <c r="B82" t="s">
        <v>674</v>
      </c>
      <c r="C82" s="3">
        <v>40249</v>
      </c>
      <c r="D82" t="s">
        <v>39</v>
      </c>
      <c r="E82" t="s">
        <v>675</v>
      </c>
      <c r="F82" s="4" t="str">
        <f>HYPERLINK("https://ssb.ee/11862070-ID/otsustajad-kasusaajad","link")</f>
        <v>link</v>
      </c>
      <c r="G82" t="s">
        <v>676</v>
      </c>
      <c r="H82" t="s">
        <v>677</v>
      </c>
      <c r="I82" s="4" t="str">
        <f>HYPERLINK("https://mahuti.ee/","link")</f>
        <v>link</v>
      </c>
      <c r="J82" t="s">
        <v>196</v>
      </c>
      <c r="K82" t="s">
        <v>678</v>
      </c>
      <c r="L82" t="s">
        <v>679</v>
      </c>
      <c r="M82" s="4" t="str">
        <f>HYPERLINK("https://ssb.ee/11862070-ID/meedia-arvamuslood","link")</f>
        <v>link</v>
      </c>
      <c r="N82" t="s">
        <v>680</v>
      </c>
      <c r="O82" s="5">
        <v>40455</v>
      </c>
      <c r="P82" t="s">
        <v>47</v>
      </c>
      <c r="Q82" s="6">
        <v>40800</v>
      </c>
      <c r="R82">
        <v>2021</v>
      </c>
      <c r="S82" s="7" t="s">
        <v>47</v>
      </c>
      <c r="T82" s="7" t="s">
        <v>47</v>
      </c>
      <c r="U82" s="7" t="s">
        <v>47</v>
      </c>
      <c r="V82">
        <v>0.01</v>
      </c>
      <c r="W82" s="8" t="s">
        <v>48</v>
      </c>
      <c r="X82" t="s">
        <v>49</v>
      </c>
      <c r="Y82" s="4" t="str">
        <f>HYPERLINK("https://ssb.ee/11862070-ID/kohustused-volad-kohtulahendid","link")</f>
        <v>link</v>
      </c>
      <c r="Z82">
        <v>2710</v>
      </c>
      <c r="AA82" s="4" t="str">
        <f>HYPERLINK("https://ssb.ee/11862070-ID/finantsid-varad-prognoosid","link")</f>
        <v>link</v>
      </c>
      <c r="AB82" s="6">
        <v>46424</v>
      </c>
      <c r="AC82" s="6">
        <v>11941</v>
      </c>
      <c r="AD82" s="6">
        <v>554341</v>
      </c>
      <c r="AE82">
        <v>10</v>
      </c>
      <c r="AF82" s="6">
        <v>1733982</v>
      </c>
      <c r="AG82" s="6">
        <v>910</v>
      </c>
      <c r="AH82" s="4" t="str">
        <f>HYPERLINK("https://ssb.ee/11862070-ID/tootajad-palgad","link")</f>
        <v>link</v>
      </c>
      <c r="AI82" t="s">
        <v>681</v>
      </c>
      <c r="AJ82">
        <v>0.01</v>
      </c>
      <c r="AK82" s="8" t="s">
        <v>48</v>
      </c>
      <c r="AL82" s="4" t="str">
        <f>HYPERLINK("https://ssb.ee/juhatuse-liikme-cv?id=351420","link")</f>
        <v>link</v>
      </c>
    </row>
    <row r="83" spans="1:38" x14ac:dyDescent="0.25">
      <c r="A83">
        <v>10144651</v>
      </c>
      <c r="B83" t="s">
        <v>682</v>
      </c>
      <c r="C83" s="3">
        <v>35562</v>
      </c>
      <c r="D83" t="s">
        <v>39</v>
      </c>
      <c r="E83" t="s">
        <v>683</v>
      </c>
      <c r="F83" s="4" t="str">
        <f>HYPERLINK("https://ssb.ee/10144651-ID/otsustajad-kasusaajad","link")</f>
        <v>link</v>
      </c>
      <c r="G83" t="s">
        <v>684</v>
      </c>
      <c r="H83" t="s">
        <v>685</v>
      </c>
      <c r="I83" s="4" t="str">
        <f>HYPERLINK("http://köögidpm24.ee ","link")</f>
        <v>link</v>
      </c>
      <c r="J83" t="s">
        <v>43</v>
      </c>
      <c r="K83" t="s">
        <v>401</v>
      </c>
      <c r="L83" t="s">
        <v>402</v>
      </c>
      <c r="M83" s="4" t="str">
        <f>HYPERLINK("https://ssb.ee/10144651-ID/meedia-arvamuslood","link")</f>
        <v>link</v>
      </c>
      <c r="N83" t="s">
        <v>686</v>
      </c>
      <c r="O83" s="5">
        <v>35612</v>
      </c>
      <c r="P83" t="s">
        <v>47</v>
      </c>
      <c r="Q83" s="6">
        <v>5500</v>
      </c>
      <c r="R83">
        <v>2021</v>
      </c>
      <c r="S83" s="7" t="s">
        <v>47</v>
      </c>
      <c r="T83" s="7" t="s">
        <v>47</v>
      </c>
      <c r="U83" s="7" t="s">
        <v>47</v>
      </c>
      <c r="V83">
        <v>0.01</v>
      </c>
      <c r="W83" s="8" t="s">
        <v>48</v>
      </c>
      <c r="X83" t="s">
        <v>49</v>
      </c>
      <c r="Y83" s="4" t="str">
        <f>HYPERLINK("https://ssb.ee/10144651-ID/kohustused-volad-kohtulahendid","link")</f>
        <v>link</v>
      </c>
      <c r="Z83">
        <v>2700</v>
      </c>
      <c r="AA83" s="4" t="str">
        <f>HYPERLINK("https://ssb.ee/10144651-ID/finantsid-varad-prognoosid","link")</f>
        <v>link</v>
      </c>
      <c r="AB83" s="6">
        <v>10373</v>
      </c>
      <c r="AC83" s="6">
        <v>3255</v>
      </c>
      <c r="AD83" s="6">
        <v>69541</v>
      </c>
      <c r="AE83">
        <v>2</v>
      </c>
      <c r="AF83" s="6">
        <v>180889</v>
      </c>
      <c r="AG83" s="6">
        <v>1170</v>
      </c>
      <c r="AH83" s="4" t="str">
        <f>HYPERLINK("https://ssb.ee/10144651-ID/tootajad-palgad","link")</f>
        <v>link</v>
      </c>
      <c r="AI83" t="s">
        <v>687</v>
      </c>
      <c r="AJ83">
        <v>1.2999999999999999E-2</v>
      </c>
      <c r="AK83" s="8" t="s">
        <v>48</v>
      </c>
      <c r="AL83" s="4" t="str">
        <f>HYPERLINK("https://ssb.ee/juhatuse-liikme-cv?id=270951","link")</f>
        <v>link</v>
      </c>
    </row>
    <row r="84" spans="1:38" x14ac:dyDescent="0.25">
      <c r="A84">
        <v>75018503</v>
      </c>
      <c r="B84" t="s">
        <v>688</v>
      </c>
      <c r="C84" s="3">
        <v>33967</v>
      </c>
      <c r="D84" t="s">
        <v>39</v>
      </c>
      <c r="E84" t="s">
        <v>689</v>
      </c>
      <c r="F84" s="4" t="str">
        <f>HYPERLINK("https://ssb.ee/75018503-ID/otsustajad-kasusaajad","link")</f>
        <v>link</v>
      </c>
      <c r="G84" t="s">
        <v>690</v>
      </c>
      <c r="H84" t="s">
        <v>691</v>
      </c>
      <c r="I84" s="4" t="str">
        <f>HYPERLINK("https://mg.edu.ee/","link")</f>
        <v>link</v>
      </c>
      <c r="J84" t="s">
        <v>65</v>
      </c>
      <c r="K84" t="s">
        <v>582</v>
      </c>
      <c r="L84" t="s">
        <v>583</v>
      </c>
      <c r="M84" s="4" t="str">
        <f>HYPERLINK("https://ssb.ee/75018503-ID/meedia-arvamuslood","link")</f>
        <v>link</v>
      </c>
      <c r="N84" t="s">
        <v>47</v>
      </c>
      <c r="O84" t="s">
        <v>47</v>
      </c>
      <c r="P84" t="s">
        <v>47</v>
      </c>
      <c r="Q84" s="6">
        <v>26700</v>
      </c>
      <c r="R84" t="s">
        <v>47</v>
      </c>
      <c r="S84" s="7" t="s">
        <v>47</v>
      </c>
      <c r="T84" s="7" t="s">
        <v>47</v>
      </c>
      <c r="U84" s="7" t="s">
        <v>47</v>
      </c>
      <c r="V84">
        <v>0.01</v>
      </c>
      <c r="W84" s="8" t="s">
        <v>48</v>
      </c>
      <c r="X84" t="s">
        <v>49</v>
      </c>
      <c r="Y84" s="4" t="str">
        <f>HYPERLINK("https://ssb.ee/75018503-ID/kohustused-volad-kohtulahendid","link")</f>
        <v>link</v>
      </c>
      <c r="Z84">
        <v>4840</v>
      </c>
      <c r="AA84" s="4" t="str">
        <f>HYPERLINK("https://ssb.ee/75018503-ID/finantsid-varad-prognoosid","link")</f>
        <v>link</v>
      </c>
      <c r="AB84" s="6">
        <v>193506</v>
      </c>
      <c r="AC84" s="6">
        <v>206329</v>
      </c>
      <c r="AD84" s="6" t="s">
        <v>47</v>
      </c>
      <c r="AE84">
        <v>86</v>
      </c>
      <c r="AF84" s="6" t="s">
        <v>47</v>
      </c>
      <c r="AG84" s="6">
        <v>1540</v>
      </c>
      <c r="AH84" s="4" t="str">
        <f>HYPERLINK("https://ssb.ee/75018503-ID/tootajad-palgad","link")</f>
        <v>link</v>
      </c>
      <c r="AI84" t="s">
        <v>692</v>
      </c>
      <c r="AJ84">
        <v>0.01</v>
      </c>
      <c r="AK84" s="8" t="s">
        <v>48</v>
      </c>
      <c r="AL84" s="4" t="str">
        <f>HYPERLINK("https://ssb.ee/juhatuse-liikme-cv?id=644335","link")</f>
        <v>link</v>
      </c>
    </row>
    <row r="85" spans="1:38" x14ac:dyDescent="0.25">
      <c r="A85">
        <v>11466345</v>
      </c>
      <c r="B85" t="s">
        <v>693</v>
      </c>
      <c r="C85" s="3">
        <v>39479</v>
      </c>
      <c r="D85" t="s">
        <v>39</v>
      </c>
      <c r="E85" t="s">
        <v>694</v>
      </c>
      <c r="F85" s="4" t="str">
        <f>HYPERLINK("https://ssb.ee/11466345-ID/otsustajad-kasusaajad","link")</f>
        <v>link</v>
      </c>
      <c r="G85" t="s">
        <v>695</v>
      </c>
      <c r="H85" t="s">
        <v>696</v>
      </c>
      <c r="I85" s="4" t="str">
        <f>HYPERLINK("https://werkado.ee/ ","link")</f>
        <v>link</v>
      </c>
      <c r="J85" t="s">
        <v>43</v>
      </c>
      <c r="K85" t="s">
        <v>188</v>
      </c>
      <c r="L85" t="s">
        <v>189</v>
      </c>
      <c r="M85" s="4" t="str">
        <f>HYPERLINK("https://ssb.ee/11466345-ID/meedia-arvamuslood","link")</f>
        <v>link</v>
      </c>
      <c r="N85" t="s">
        <v>697</v>
      </c>
      <c r="O85" s="5">
        <v>39524</v>
      </c>
      <c r="P85" t="s">
        <v>47</v>
      </c>
      <c r="Q85" s="6">
        <v>100000</v>
      </c>
      <c r="R85">
        <v>2021</v>
      </c>
      <c r="S85" s="7" t="s">
        <v>47</v>
      </c>
      <c r="T85" s="7" t="s">
        <v>47</v>
      </c>
      <c r="U85" s="7" t="s">
        <v>47</v>
      </c>
      <c r="V85">
        <v>0.01</v>
      </c>
      <c r="W85" s="8" t="s">
        <v>48</v>
      </c>
      <c r="X85" t="s">
        <v>49</v>
      </c>
      <c r="Y85" s="4" t="str">
        <f>HYPERLINK("https://ssb.ee/11466345-ID/kohustused-volad-kohtulahendid","link")</f>
        <v>link</v>
      </c>
      <c r="Z85">
        <v>8260</v>
      </c>
      <c r="AA85" s="4" t="str">
        <f>HYPERLINK("https://ssb.ee/11466345-ID/finantsid-varad-prognoosid","link")</f>
        <v>link</v>
      </c>
      <c r="AB85" s="6">
        <v>116658</v>
      </c>
      <c r="AC85" s="6">
        <v>61816</v>
      </c>
      <c r="AD85" s="6">
        <v>3220580</v>
      </c>
      <c r="AE85">
        <v>18</v>
      </c>
      <c r="AF85" s="6">
        <v>9324072</v>
      </c>
      <c r="AG85" s="6">
        <v>2070</v>
      </c>
      <c r="AH85" s="4" t="str">
        <f>HYPERLINK("https://ssb.ee/11466345-ID/tootajad-palgad","link")</f>
        <v>link</v>
      </c>
      <c r="AI85" t="s">
        <v>698</v>
      </c>
      <c r="AJ85">
        <v>0.01</v>
      </c>
      <c r="AK85" s="8" t="s">
        <v>48</v>
      </c>
      <c r="AL85" s="4" t="str">
        <f>HYPERLINK("https://ssb.ee/juhatuse-liikme-cv?id=307528","link")</f>
        <v>link</v>
      </c>
    </row>
    <row r="86" spans="1:38" x14ac:dyDescent="0.25">
      <c r="A86">
        <v>10998873</v>
      </c>
      <c r="B86" t="s">
        <v>699</v>
      </c>
      <c r="C86" s="3">
        <v>38013</v>
      </c>
      <c r="D86" t="s">
        <v>39</v>
      </c>
      <c r="E86" t="s">
        <v>700</v>
      </c>
      <c r="F86" s="4" t="str">
        <f>HYPERLINK("https://ssb.ee/10998873-ID/otsustajad-kasusaajad","link")</f>
        <v>link</v>
      </c>
      <c r="G86" t="s">
        <v>701</v>
      </c>
      <c r="H86" t="s">
        <v>702</v>
      </c>
      <c r="I86" s="4" t="str">
        <f>HYPERLINK("https://www.on24.fi/ ","link")</f>
        <v>link</v>
      </c>
      <c r="J86" t="s">
        <v>43</v>
      </c>
      <c r="K86" t="s">
        <v>703</v>
      </c>
      <c r="L86" t="s">
        <v>704</v>
      </c>
      <c r="M86" s="4" t="str">
        <f>HYPERLINK("https://ssb.ee/10998873-ID/meedia-arvamuslood","link")</f>
        <v>link</v>
      </c>
      <c r="N86" t="s">
        <v>705</v>
      </c>
      <c r="O86" s="5">
        <v>38049</v>
      </c>
      <c r="P86" t="s">
        <v>47</v>
      </c>
      <c r="Q86" s="6">
        <v>100000</v>
      </c>
      <c r="R86">
        <v>2021</v>
      </c>
      <c r="S86" s="7" t="s">
        <v>47</v>
      </c>
      <c r="T86" s="7" t="s">
        <v>47</v>
      </c>
      <c r="U86" s="7" t="s">
        <v>47</v>
      </c>
      <c r="V86">
        <v>0.01</v>
      </c>
      <c r="W86" s="8" t="s">
        <v>48</v>
      </c>
      <c r="X86" t="s">
        <v>49</v>
      </c>
      <c r="Y86" s="4" t="str">
        <f>HYPERLINK("https://ssb.ee/10998873-ID/kohustused-volad-kohtulahendid","link")</f>
        <v>link</v>
      </c>
      <c r="Z86">
        <v>9110</v>
      </c>
      <c r="AA86" s="4" t="str">
        <f>HYPERLINK("https://ssb.ee/10998873-ID/finantsid-varad-prognoosid","link")</f>
        <v>link</v>
      </c>
      <c r="AB86" s="6">
        <v>239703</v>
      </c>
      <c r="AC86" s="6">
        <v>142743</v>
      </c>
      <c r="AD86" s="6">
        <v>4434137</v>
      </c>
      <c r="AE86">
        <v>39</v>
      </c>
      <c r="AF86" s="6">
        <v>13487326</v>
      </c>
      <c r="AG86" s="6">
        <v>2205</v>
      </c>
      <c r="AH86" s="4" t="str">
        <f>HYPERLINK("https://ssb.ee/10998873-ID/tootajad-palgad","link")</f>
        <v>link</v>
      </c>
      <c r="AI86" t="s">
        <v>706</v>
      </c>
      <c r="AJ86">
        <v>0.01</v>
      </c>
      <c r="AK86" s="8" t="s">
        <v>48</v>
      </c>
      <c r="AL86" s="4" t="str">
        <f>HYPERLINK("https://ssb.ee/juhatuse-liikme-cv?id=304227","link")</f>
        <v>link</v>
      </c>
    </row>
    <row r="87" spans="1:38" x14ac:dyDescent="0.25">
      <c r="A87">
        <v>10813187</v>
      </c>
      <c r="B87" t="s">
        <v>707</v>
      </c>
      <c r="C87" s="3">
        <v>37204</v>
      </c>
      <c r="D87" t="s">
        <v>39</v>
      </c>
      <c r="E87" t="s">
        <v>708</v>
      </c>
      <c r="F87" s="4" t="str">
        <f>HYPERLINK("https://ssb.ee/10813187-ID/otsustajad-kasusaajad","link")</f>
        <v>link</v>
      </c>
      <c r="G87" t="s">
        <v>709</v>
      </c>
      <c r="H87" t="s">
        <v>710</v>
      </c>
      <c r="I87" s="4" t="str">
        <f>HYPERLINK("http://baruto.ee","link")</f>
        <v>link</v>
      </c>
      <c r="J87" t="s">
        <v>61</v>
      </c>
      <c r="K87" t="s">
        <v>99</v>
      </c>
      <c r="L87" t="s">
        <v>100</v>
      </c>
      <c r="M87" s="4" t="str">
        <f>HYPERLINK("https://ssb.ee/10813187-ID/meedia-arvamuslood","link")</f>
        <v>link</v>
      </c>
      <c r="N87" t="s">
        <v>711</v>
      </c>
      <c r="O87" s="5">
        <v>37226</v>
      </c>
      <c r="P87" t="s">
        <v>47</v>
      </c>
      <c r="Q87" s="6">
        <v>100</v>
      </c>
      <c r="R87">
        <v>2021</v>
      </c>
      <c r="S87" s="7" t="s">
        <v>47</v>
      </c>
      <c r="T87" s="7" t="s">
        <v>47</v>
      </c>
      <c r="U87" s="7" t="s">
        <v>47</v>
      </c>
      <c r="V87">
        <v>0.01</v>
      </c>
      <c r="W87" s="8" t="s">
        <v>48</v>
      </c>
      <c r="X87" t="s">
        <v>49</v>
      </c>
      <c r="Y87" s="4" t="str">
        <f>HYPERLINK("https://ssb.ee/10813187-ID/kohustused-volad-kohtulahendid","link")</f>
        <v>link</v>
      </c>
      <c r="Z87">
        <v>15820</v>
      </c>
      <c r="AA87" s="4" t="str">
        <f>HYPERLINK("https://ssb.ee/10813187-ID/finantsid-varad-prognoosid","link")</f>
        <v>link</v>
      </c>
      <c r="AB87" s="6">
        <v>786</v>
      </c>
      <c r="AC87" s="6">
        <v>813</v>
      </c>
      <c r="AD87" s="6">
        <v>54</v>
      </c>
      <c r="AE87" t="s">
        <v>47</v>
      </c>
      <c r="AF87" s="6">
        <v>132842</v>
      </c>
      <c r="AG87" s="6" t="s">
        <v>47</v>
      </c>
      <c r="AH87" s="4" t="str">
        <f>HYPERLINK("https://ssb.ee/10813187-ID/tootajad-palgad","link")</f>
        <v>link</v>
      </c>
      <c r="AI87" t="s">
        <v>712</v>
      </c>
      <c r="AJ87">
        <v>0.01</v>
      </c>
      <c r="AK87" s="8" t="s">
        <v>48</v>
      </c>
      <c r="AL87" s="4" t="str">
        <f>HYPERLINK("https://ssb.ee/juhatuse-liikme-cv?id=295182","link")</f>
        <v>link</v>
      </c>
    </row>
    <row r="88" spans="1:38" x14ac:dyDescent="0.25">
      <c r="A88">
        <v>12142751</v>
      </c>
      <c r="B88" t="s">
        <v>713</v>
      </c>
      <c r="C88" s="3">
        <v>40759</v>
      </c>
      <c r="D88" t="s">
        <v>39</v>
      </c>
      <c r="E88" t="s">
        <v>714</v>
      </c>
      <c r="F88" s="4" t="str">
        <f>HYPERLINK("https://ssb.ee/12142751-ID/otsustajad-kasusaajad","link")</f>
        <v>link</v>
      </c>
      <c r="G88" t="s">
        <v>715</v>
      </c>
      <c r="H88" t="s">
        <v>716</v>
      </c>
      <c r="I88" s="4" t="str">
        <f>HYPERLINK("https://venipak.ee/ ","link")</f>
        <v>link</v>
      </c>
      <c r="J88" t="s">
        <v>81</v>
      </c>
      <c r="K88" t="s">
        <v>82</v>
      </c>
      <c r="L88" t="s">
        <v>83</v>
      </c>
      <c r="M88" s="4" t="str">
        <f>HYPERLINK("https://ssb.ee/12142751-ID/meedia-arvamuslood","link")</f>
        <v>link</v>
      </c>
      <c r="N88" t="s">
        <v>717</v>
      </c>
      <c r="O88" s="5">
        <v>40949</v>
      </c>
      <c r="P88" t="s">
        <v>47</v>
      </c>
      <c r="Q88" s="6">
        <v>100000</v>
      </c>
      <c r="R88">
        <v>2021</v>
      </c>
      <c r="S88" s="7" t="s">
        <v>47</v>
      </c>
      <c r="T88" s="7" t="s">
        <v>47</v>
      </c>
      <c r="U88" s="7" t="s">
        <v>47</v>
      </c>
      <c r="V88">
        <v>0.01</v>
      </c>
      <c r="W88" s="8" t="s">
        <v>48</v>
      </c>
      <c r="X88" t="s">
        <v>49</v>
      </c>
      <c r="Y88" s="4" t="str">
        <f>HYPERLINK("https://ssb.ee/12142751-ID/kohustused-volad-kohtulahendid","link")</f>
        <v>link</v>
      </c>
      <c r="Z88">
        <v>6100</v>
      </c>
      <c r="AA88" s="4" t="str">
        <f>HYPERLINK("https://ssb.ee/12142751-ID/finantsid-varad-prognoosid","link")</f>
        <v>link</v>
      </c>
      <c r="AB88" s="6">
        <v>221711</v>
      </c>
      <c r="AC88" s="6">
        <v>108100</v>
      </c>
      <c r="AD88" s="6">
        <v>3472984</v>
      </c>
      <c r="AE88">
        <v>31</v>
      </c>
      <c r="AF88" s="6">
        <v>10954306</v>
      </c>
      <c r="AG88" s="6">
        <v>2070</v>
      </c>
      <c r="AH88" s="4" t="str">
        <f>HYPERLINK("https://ssb.ee/12142751-ID/tootajad-palgad","link")</f>
        <v>link</v>
      </c>
      <c r="AI88" t="s">
        <v>47</v>
      </c>
      <c r="AJ88" t="s">
        <v>47</v>
      </c>
      <c r="AK88" t="s">
        <v>47</v>
      </c>
      <c r="AL88" s="4" t="str">
        <f>HYPERLINK("","link")</f>
        <v>link</v>
      </c>
    </row>
    <row r="89" spans="1:38" x14ac:dyDescent="0.25">
      <c r="A89">
        <v>11046399</v>
      </c>
      <c r="B89" t="s">
        <v>718</v>
      </c>
      <c r="C89" s="3">
        <v>38236</v>
      </c>
      <c r="D89" t="s">
        <v>39</v>
      </c>
      <c r="E89" t="s">
        <v>719</v>
      </c>
      <c r="F89" s="4" t="str">
        <f>HYPERLINK("https://ssb.ee/11046399-ID/otsustajad-kasusaajad","link")</f>
        <v>link</v>
      </c>
      <c r="G89" t="s">
        <v>720</v>
      </c>
      <c r="H89" t="s">
        <v>721</v>
      </c>
      <c r="I89" s="4" t="str">
        <f>HYPERLINK("http://raadigaas.ee","link")</f>
        <v>link</v>
      </c>
      <c r="J89" t="s">
        <v>90</v>
      </c>
      <c r="K89" t="s">
        <v>722</v>
      </c>
      <c r="L89" t="s">
        <v>723</v>
      </c>
      <c r="M89" s="4" t="str">
        <f>HYPERLINK("https://ssb.ee/11046399-ID/meedia-arvamuslood","link")</f>
        <v>link</v>
      </c>
      <c r="N89" t="s">
        <v>724</v>
      </c>
      <c r="O89" s="5">
        <v>38371</v>
      </c>
      <c r="P89" t="s">
        <v>47</v>
      </c>
      <c r="Q89" s="6">
        <v>63700</v>
      </c>
      <c r="R89">
        <v>2021</v>
      </c>
      <c r="S89" s="7" t="s">
        <v>47</v>
      </c>
      <c r="T89" s="7" t="s">
        <v>47</v>
      </c>
      <c r="U89" s="7" t="s">
        <v>47</v>
      </c>
      <c r="V89">
        <v>0.01</v>
      </c>
      <c r="W89" s="8" t="s">
        <v>48</v>
      </c>
      <c r="X89" t="s">
        <v>49</v>
      </c>
      <c r="Y89" s="4" t="str">
        <f>HYPERLINK("https://ssb.ee/11046399-ID/kohustused-volad-kohtulahendid","link")</f>
        <v>link</v>
      </c>
      <c r="Z89">
        <v>2950</v>
      </c>
      <c r="AA89" s="4" t="str">
        <f>HYPERLINK("https://ssb.ee/11046399-ID/finantsid-varad-prognoosid","link")</f>
        <v>link</v>
      </c>
      <c r="AB89" s="6">
        <v>62638</v>
      </c>
      <c r="AC89" s="6">
        <v>6953</v>
      </c>
      <c r="AD89" s="6">
        <v>885794</v>
      </c>
      <c r="AE89">
        <v>3</v>
      </c>
      <c r="AF89" s="6">
        <v>3473887</v>
      </c>
      <c r="AG89" s="6">
        <v>1540</v>
      </c>
      <c r="AH89" s="4" t="str">
        <f>HYPERLINK("https://ssb.ee/11046399-ID/tootajad-palgad","link")</f>
        <v>link</v>
      </c>
      <c r="AI89" t="s">
        <v>725</v>
      </c>
      <c r="AJ89">
        <v>0.01</v>
      </c>
      <c r="AK89" s="8" t="s">
        <v>48</v>
      </c>
      <c r="AL89" s="4" t="str">
        <f>HYPERLINK("https://ssb.ee/juhatuse-liikme-cv?id=1032516","link")</f>
        <v>link</v>
      </c>
    </row>
    <row r="90" spans="1:38" x14ac:dyDescent="0.25">
      <c r="A90">
        <v>11883340</v>
      </c>
      <c r="B90" t="s">
        <v>726</v>
      </c>
      <c r="C90" s="3">
        <v>40207</v>
      </c>
      <c r="D90" t="s">
        <v>39</v>
      </c>
      <c r="E90" t="s">
        <v>727</v>
      </c>
      <c r="F90" s="4" t="str">
        <f>HYPERLINK("https://ssb.ee/11883340-ID/otsustajad-kasusaajad","link")</f>
        <v>link</v>
      </c>
      <c r="G90" t="s">
        <v>728</v>
      </c>
      <c r="H90" t="s">
        <v>729</v>
      </c>
      <c r="I90" s="4" t="str">
        <f>HYPERLINK("https://paeloomakliinik.ee/","link")</f>
        <v>link</v>
      </c>
      <c r="J90" t="s">
        <v>43</v>
      </c>
      <c r="K90" t="s">
        <v>730</v>
      </c>
      <c r="L90" t="s">
        <v>731</v>
      </c>
      <c r="M90" s="4" t="str">
        <f>HYPERLINK("https://ssb.ee/11883340-ID/meedia-arvamuslood","link")</f>
        <v>link</v>
      </c>
      <c r="N90" t="s">
        <v>732</v>
      </c>
      <c r="O90" s="5">
        <v>40212</v>
      </c>
      <c r="P90" t="s">
        <v>47</v>
      </c>
      <c r="Q90" s="6">
        <v>1700</v>
      </c>
      <c r="R90">
        <v>2021</v>
      </c>
      <c r="S90" s="7" t="s">
        <v>47</v>
      </c>
      <c r="T90" s="7" t="s">
        <v>47</v>
      </c>
      <c r="U90" s="7" t="s">
        <v>47</v>
      </c>
      <c r="V90">
        <v>0.01</v>
      </c>
      <c r="W90" s="8" t="s">
        <v>48</v>
      </c>
      <c r="X90" t="s">
        <v>49</v>
      </c>
      <c r="Y90" s="4" t="str">
        <f>HYPERLINK("https://ssb.ee/11883340-ID/kohustused-volad-kohtulahendid","link")</f>
        <v>link</v>
      </c>
      <c r="Z90">
        <v>3150</v>
      </c>
      <c r="AA90" s="4" t="str">
        <f>HYPERLINK("https://ssb.ee/11883340-ID/finantsid-varad-prognoosid","link")</f>
        <v>link</v>
      </c>
      <c r="AB90" s="6">
        <v>2212</v>
      </c>
      <c r="AC90" s="6">
        <v>1481</v>
      </c>
      <c r="AD90" s="6">
        <v>22358</v>
      </c>
      <c r="AE90">
        <v>2</v>
      </c>
      <c r="AF90" s="6">
        <v>82695</v>
      </c>
      <c r="AG90" s="6">
        <v>650</v>
      </c>
      <c r="AH90" s="4" t="str">
        <f>HYPERLINK("https://ssb.ee/11883340-ID/tootajad-palgad","link")</f>
        <v>link</v>
      </c>
      <c r="AI90" t="s">
        <v>733</v>
      </c>
      <c r="AJ90">
        <v>0.01</v>
      </c>
      <c r="AK90" s="8" t="s">
        <v>48</v>
      </c>
      <c r="AL90" s="4" t="str">
        <f>HYPERLINK("https://ssb.ee/juhatuse-liikme-cv?id=351896","link")</f>
        <v>link</v>
      </c>
    </row>
    <row r="91" spans="1:38" x14ac:dyDescent="0.25">
      <c r="A91">
        <v>10423546</v>
      </c>
      <c r="B91" t="s">
        <v>734</v>
      </c>
      <c r="C91" s="3">
        <v>35888</v>
      </c>
      <c r="D91" t="s">
        <v>39</v>
      </c>
      <c r="E91" t="s">
        <v>735</v>
      </c>
      <c r="F91" s="4" t="str">
        <f>HYPERLINK("https://ssb.ee/10423546-ID/otsustajad-kasusaajad","link")</f>
        <v>link</v>
      </c>
      <c r="G91" t="s">
        <v>736</v>
      </c>
      <c r="H91" t="s">
        <v>737</v>
      </c>
      <c r="I91" s="4" t="str">
        <f>HYPERLINK("https://abmedical.ee/teenindus/","link")</f>
        <v>link</v>
      </c>
      <c r="J91" t="s">
        <v>196</v>
      </c>
      <c r="K91" t="s">
        <v>738</v>
      </c>
      <c r="L91" t="s">
        <v>739</v>
      </c>
      <c r="M91" s="4" t="str">
        <f>HYPERLINK("https://ssb.ee/10423546-ID/meedia-arvamuslood","link")</f>
        <v>link</v>
      </c>
      <c r="N91" t="s">
        <v>740</v>
      </c>
      <c r="O91" s="5">
        <v>35977</v>
      </c>
      <c r="P91" t="s">
        <v>47</v>
      </c>
      <c r="Q91" s="6">
        <v>73500</v>
      </c>
      <c r="R91">
        <v>2021</v>
      </c>
      <c r="S91" s="7" t="s">
        <v>47</v>
      </c>
      <c r="T91" s="7" t="s">
        <v>47</v>
      </c>
      <c r="U91" s="7" t="s">
        <v>47</v>
      </c>
      <c r="V91">
        <v>0.01</v>
      </c>
      <c r="W91" s="8" t="s">
        <v>48</v>
      </c>
      <c r="X91" t="s">
        <v>49</v>
      </c>
      <c r="Y91" s="4" t="str">
        <f>HYPERLINK("https://ssb.ee/10423546-ID/kohustused-volad-kohtulahendid","link")</f>
        <v>link</v>
      </c>
      <c r="Z91">
        <v>2550</v>
      </c>
      <c r="AA91" s="4" t="str">
        <f>HYPERLINK("https://ssb.ee/10423546-ID/finantsid-varad-prognoosid","link")</f>
        <v>link</v>
      </c>
      <c r="AB91" s="6">
        <v>184026</v>
      </c>
      <c r="AC91" s="6">
        <v>51214</v>
      </c>
      <c r="AD91" s="6">
        <v>867162</v>
      </c>
      <c r="AE91">
        <v>12</v>
      </c>
      <c r="AF91" s="6">
        <v>2094348</v>
      </c>
      <c r="AG91" s="6">
        <v>2530</v>
      </c>
      <c r="AH91" s="4" t="str">
        <f>HYPERLINK("https://ssb.ee/10423546-ID/tootajad-palgad","link")</f>
        <v>link</v>
      </c>
      <c r="AI91" t="s">
        <v>741</v>
      </c>
      <c r="AJ91">
        <v>0.112</v>
      </c>
      <c r="AK91" s="8" t="s">
        <v>48</v>
      </c>
      <c r="AL91" s="4" t="str">
        <f>HYPERLINK("https://ssb.ee/juhatuse-liikme-cv?id=273288","link")</f>
        <v>link</v>
      </c>
    </row>
    <row r="92" spans="1:38" x14ac:dyDescent="0.25">
      <c r="A92">
        <v>14133207</v>
      </c>
      <c r="B92" t="s">
        <v>742</v>
      </c>
      <c r="C92" s="3">
        <v>42656</v>
      </c>
      <c r="D92" t="s">
        <v>39</v>
      </c>
      <c r="E92" t="s">
        <v>743</v>
      </c>
      <c r="F92" s="4" t="str">
        <f>HYPERLINK("https://ssb.ee/14133207-ID/otsustajad-kasusaajad","link")</f>
        <v>link</v>
      </c>
      <c r="G92" t="s">
        <v>744</v>
      </c>
      <c r="H92" t="s">
        <v>745</v>
      </c>
      <c r="I92" s="4" t="str">
        <f>HYPERLINK("http://wisercat-estonia.ee","link")</f>
        <v>link</v>
      </c>
      <c r="J92" t="s">
        <v>56</v>
      </c>
      <c r="K92" t="s">
        <v>746</v>
      </c>
      <c r="L92" t="s">
        <v>747</v>
      </c>
      <c r="M92" s="4" t="str">
        <f>HYPERLINK("https://ssb.ee/14133207-ID/meedia-arvamuslood","link")</f>
        <v>link</v>
      </c>
      <c r="N92" t="s">
        <v>748</v>
      </c>
      <c r="O92" s="5">
        <v>42745</v>
      </c>
      <c r="P92" t="s">
        <v>47</v>
      </c>
      <c r="Q92" s="6">
        <v>92200</v>
      </c>
      <c r="R92">
        <v>2021</v>
      </c>
      <c r="S92" s="7" t="s">
        <v>47</v>
      </c>
      <c r="T92" s="7" t="s">
        <v>47</v>
      </c>
      <c r="U92" s="7" t="s">
        <v>47</v>
      </c>
      <c r="V92">
        <v>0.01</v>
      </c>
      <c r="W92" s="8" t="s">
        <v>48</v>
      </c>
      <c r="X92" t="s">
        <v>49</v>
      </c>
      <c r="Y92" s="4" t="str">
        <f>HYPERLINK("https://ssb.ee/14133207-ID/kohustused-volad-kohtulahendid","link")</f>
        <v>link</v>
      </c>
      <c r="Z92">
        <v>4960</v>
      </c>
      <c r="AA92" s="4" t="str">
        <f>HYPERLINK("https://ssb.ee/14133207-ID/finantsid-varad-prognoosid","link")</f>
        <v>link</v>
      </c>
      <c r="AB92" s="6">
        <v>230936</v>
      </c>
      <c r="AC92" s="6">
        <v>140149</v>
      </c>
      <c r="AD92" s="6">
        <v>1011354</v>
      </c>
      <c r="AE92">
        <v>55</v>
      </c>
      <c r="AF92" s="6">
        <v>4554625</v>
      </c>
      <c r="AG92" s="6">
        <v>1615</v>
      </c>
      <c r="AH92" s="4" t="str">
        <f>HYPERLINK("https://ssb.ee/14133207-ID/tootajad-palgad","link")</f>
        <v>link</v>
      </c>
      <c r="AI92" t="s">
        <v>749</v>
      </c>
      <c r="AJ92">
        <v>0.01</v>
      </c>
      <c r="AK92" s="8" t="s">
        <v>48</v>
      </c>
      <c r="AL92" s="4" t="str">
        <f>HYPERLINK("https://ssb.ee/juhatuse-liikme-cv?id=349488","link")</f>
        <v>link</v>
      </c>
    </row>
    <row r="93" spans="1:38" x14ac:dyDescent="0.25">
      <c r="A93">
        <v>10301412</v>
      </c>
      <c r="B93" t="s">
        <v>750</v>
      </c>
      <c r="C93" s="3">
        <v>35711</v>
      </c>
      <c r="D93" t="s">
        <v>39</v>
      </c>
      <c r="E93" t="s">
        <v>751</v>
      </c>
      <c r="F93" s="4" t="str">
        <f>HYPERLINK("https://ssb.ee/10301412-ID/otsustajad-kasusaajad","link")</f>
        <v>link</v>
      </c>
      <c r="G93" t="s">
        <v>752</v>
      </c>
      <c r="H93" t="s">
        <v>753</v>
      </c>
      <c r="I93" s="4" t="str">
        <f>HYPERLINK("https://rapinahaigla.ee/","link")</f>
        <v>link</v>
      </c>
      <c r="J93" t="s">
        <v>117</v>
      </c>
      <c r="K93" t="s">
        <v>754</v>
      </c>
      <c r="L93" t="s">
        <v>755</v>
      </c>
      <c r="M93" s="4" t="str">
        <f>HYPERLINK("https://ssb.ee/10301412-ID/meedia-arvamuslood","link")</f>
        <v>link</v>
      </c>
      <c r="N93" t="s">
        <v>47</v>
      </c>
      <c r="O93" t="s">
        <v>47</v>
      </c>
      <c r="P93" t="s">
        <v>47</v>
      </c>
      <c r="Q93" s="6">
        <v>13900</v>
      </c>
      <c r="R93">
        <v>2021</v>
      </c>
      <c r="S93" s="7" t="s">
        <v>47</v>
      </c>
      <c r="T93" s="7" t="s">
        <v>47</v>
      </c>
      <c r="U93" s="7" t="s">
        <v>47</v>
      </c>
      <c r="V93">
        <v>0.01</v>
      </c>
      <c r="W93" s="8" t="s">
        <v>48</v>
      </c>
      <c r="X93" t="s">
        <v>49</v>
      </c>
      <c r="Y93" s="4" t="str">
        <f>HYPERLINK("https://ssb.ee/10301412-ID/kohustused-volad-kohtulahendid","link")</f>
        <v>link</v>
      </c>
      <c r="Z93">
        <v>7210</v>
      </c>
      <c r="AA93" s="4" t="str">
        <f>HYPERLINK("https://ssb.ee/10301412-ID/finantsid-varad-prognoosid","link")</f>
        <v>link</v>
      </c>
      <c r="AB93" s="6">
        <v>100549</v>
      </c>
      <c r="AC93" s="6">
        <v>107639</v>
      </c>
      <c r="AD93" s="6" t="s">
        <v>47</v>
      </c>
      <c r="AE93">
        <v>59</v>
      </c>
      <c r="AF93" s="6">
        <v>1509784</v>
      </c>
      <c r="AG93" s="6">
        <v>1315</v>
      </c>
      <c r="AH93" s="4" t="str">
        <f>HYPERLINK("https://ssb.ee/10301412-ID/tootajad-palgad","link")</f>
        <v>link</v>
      </c>
      <c r="AI93" t="s">
        <v>756</v>
      </c>
      <c r="AJ93">
        <v>9.9000000000000005E-2</v>
      </c>
      <c r="AK93" s="8" t="s">
        <v>48</v>
      </c>
      <c r="AL93" s="4" t="str">
        <f>HYPERLINK("https://ssb.ee/juhatuse-liikme-cv?id=520482","link")</f>
        <v>link</v>
      </c>
    </row>
    <row r="94" spans="1:38" x14ac:dyDescent="0.25">
      <c r="A94">
        <v>75007008</v>
      </c>
      <c r="B94" t="s">
        <v>757</v>
      </c>
      <c r="C94" s="3">
        <v>33828</v>
      </c>
      <c r="D94" t="s">
        <v>39</v>
      </c>
      <c r="E94" t="s">
        <v>758</v>
      </c>
      <c r="F94" s="4" t="str">
        <f>HYPERLINK("https://ssb.ee/75007008-ID/otsustajad-kasusaajad","link")</f>
        <v>link</v>
      </c>
      <c r="G94" t="s">
        <v>759</v>
      </c>
      <c r="H94" t="s">
        <v>760</v>
      </c>
      <c r="I94" s="4" t="str">
        <f>HYPERLINK("https://masing.tartu.ee/","link")</f>
        <v>link</v>
      </c>
      <c r="J94" t="s">
        <v>65</v>
      </c>
      <c r="K94" t="s">
        <v>582</v>
      </c>
      <c r="L94" t="s">
        <v>583</v>
      </c>
      <c r="M94" s="4" t="str">
        <f>HYPERLINK("https://ssb.ee/75007008-ID/meedia-arvamuslood","link")</f>
        <v>link</v>
      </c>
      <c r="N94" t="s">
        <v>47</v>
      </c>
      <c r="O94" t="s">
        <v>47</v>
      </c>
      <c r="P94" t="s">
        <v>47</v>
      </c>
      <c r="Q94" s="6" t="s">
        <v>47</v>
      </c>
      <c r="R94" t="s">
        <v>47</v>
      </c>
      <c r="S94" s="7" t="s">
        <v>47</v>
      </c>
      <c r="T94" s="7" t="s">
        <v>47</v>
      </c>
      <c r="U94" s="7" t="s">
        <v>47</v>
      </c>
      <c r="V94">
        <v>0.01</v>
      </c>
      <c r="W94" s="8" t="s">
        <v>48</v>
      </c>
      <c r="X94" t="s">
        <v>49</v>
      </c>
      <c r="Y94" s="4" t="str">
        <f>HYPERLINK("https://ssb.ee/75007008-ID/kohustused-volad-kohtulahendid","link")</f>
        <v>link</v>
      </c>
      <c r="Z94">
        <v>3360</v>
      </c>
      <c r="AA94" s="4" t="str">
        <f>HYPERLINK("https://ssb.ee/75007008-ID/finantsid-varad-prognoosid","link")</f>
        <v>link</v>
      </c>
      <c r="AB94" s="6" t="s">
        <v>47</v>
      </c>
      <c r="AC94" s="6" t="s">
        <v>47</v>
      </c>
      <c r="AD94" s="6" t="s">
        <v>47</v>
      </c>
      <c r="AE94">
        <v>142</v>
      </c>
      <c r="AF94" s="6" t="s">
        <v>47</v>
      </c>
      <c r="AG94" s="6" t="s">
        <v>47</v>
      </c>
      <c r="AH94" s="4" t="str">
        <f>HYPERLINK("https://ssb.ee/75007008-ID/tootajad-palgad","link")</f>
        <v>link</v>
      </c>
      <c r="AI94" t="s">
        <v>761</v>
      </c>
      <c r="AJ94">
        <v>8.9999999999999993E-3</v>
      </c>
      <c r="AK94" s="8" t="s">
        <v>48</v>
      </c>
      <c r="AL94" s="4" t="str">
        <f>HYPERLINK("https://ssb.ee/juhatuse-liikme-cv?id=481452","link")</f>
        <v>link</v>
      </c>
    </row>
    <row r="95" spans="1:38" x14ac:dyDescent="0.25">
      <c r="A95">
        <v>10614625</v>
      </c>
      <c r="B95" t="s">
        <v>762</v>
      </c>
      <c r="C95" s="3">
        <v>36491</v>
      </c>
      <c r="D95" t="s">
        <v>39</v>
      </c>
      <c r="E95" t="s">
        <v>763</v>
      </c>
      <c r="F95" s="4" t="str">
        <f>HYPERLINK("https://ssb.ee/10614625-ID/otsustajad-kasusaajad","link")</f>
        <v>link</v>
      </c>
      <c r="G95" t="s">
        <v>764</v>
      </c>
      <c r="H95" t="s">
        <v>765</v>
      </c>
      <c r="I95" s="4" t="str">
        <f>HYPERLINK("http://idealbaltic.eu","link")</f>
        <v>link</v>
      </c>
      <c r="J95" t="s">
        <v>201</v>
      </c>
      <c r="K95" t="s">
        <v>372</v>
      </c>
      <c r="L95" t="s">
        <v>373</v>
      </c>
      <c r="M95" s="4" t="str">
        <f>HYPERLINK("https://ssb.ee/10614625-ID/meedia-arvamuslood","link")</f>
        <v>link</v>
      </c>
      <c r="N95" t="s">
        <v>766</v>
      </c>
      <c r="O95" s="5">
        <v>43195</v>
      </c>
      <c r="P95" t="s">
        <v>47</v>
      </c>
      <c r="Q95" s="6">
        <v>23900</v>
      </c>
      <c r="R95">
        <v>2021</v>
      </c>
      <c r="S95" s="7" t="s">
        <v>47</v>
      </c>
      <c r="T95" s="7" t="s">
        <v>47</v>
      </c>
      <c r="U95" s="7" t="s">
        <v>47</v>
      </c>
      <c r="V95">
        <v>0.01</v>
      </c>
      <c r="W95" s="8" t="s">
        <v>48</v>
      </c>
      <c r="X95" t="s">
        <v>49</v>
      </c>
      <c r="Y95" s="4" t="str">
        <f>HYPERLINK("https://ssb.ee/10614625-ID/kohustused-volad-kohtulahendid","link")</f>
        <v>link</v>
      </c>
      <c r="Z95">
        <v>3440</v>
      </c>
      <c r="AA95" s="4" t="str">
        <f>HYPERLINK("https://ssb.ee/10614625-ID/finantsid-varad-prognoosid","link")</f>
        <v>link</v>
      </c>
      <c r="AB95" s="6">
        <v>46677</v>
      </c>
      <c r="AC95" s="6">
        <v>32911</v>
      </c>
      <c r="AD95" s="6">
        <v>278928</v>
      </c>
      <c r="AE95">
        <v>4</v>
      </c>
      <c r="AF95" s="6">
        <v>944711</v>
      </c>
      <c r="AG95" s="6">
        <v>4860</v>
      </c>
      <c r="AH95" s="4" t="str">
        <f>HYPERLINK("https://ssb.ee/10614625-ID/tootajad-palgad","link")</f>
        <v>link</v>
      </c>
      <c r="AI95" t="s">
        <v>767</v>
      </c>
      <c r="AJ95">
        <v>7.0000000000000001E-3</v>
      </c>
      <c r="AK95" s="8" t="s">
        <v>48</v>
      </c>
      <c r="AL95" s="4" t="str">
        <f>HYPERLINK("https://ssb.ee/juhatuse-liikme-cv?id=278424","link")</f>
        <v>link</v>
      </c>
    </row>
    <row r="96" spans="1:38" x14ac:dyDescent="0.25">
      <c r="A96">
        <v>90007359</v>
      </c>
      <c r="B96" t="s">
        <v>768</v>
      </c>
      <c r="C96" s="3">
        <v>37614</v>
      </c>
      <c r="D96" t="s">
        <v>39</v>
      </c>
      <c r="E96" t="s">
        <v>769</v>
      </c>
      <c r="F96" s="4" t="str">
        <f>HYPERLINK("https://ssb.ee/90007359-ID/otsustajad-kasusaajad","link")</f>
        <v>link</v>
      </c>
      <c r="G96" t="s">
        <v>770</v>
      </c>
      <c r="H96" t="s">
        <v>771</v>
      </c>
      <c r="I96" s="4" t="str">
        <f>HYPERLINK("http://ehaigla.ee","link")</f>
        <v>link</v>
      </c>
      <c r="J96" t="s">
        <v>143</v>
      </c>
      <c r="K96" t="s">
        <v>312</v>
      </c>
      <c r="L96" t="s">
        <v>313</v>
      </c>
      <c r="M96" s="4" t="str">
        <f>HYPERLINK("https://ssb.ee/90007359-ID/meedia-arvamuslood","link")</f>
        <v>link</v>
      </c>
      <c r="N96" t="s">
        <v>772</v>
      </c>
      <c r="O96" s="5">
        <v>37845</v>
      </c>
      <c r="P96" t="s">
        <v>773</v>
      </c>
      <c r="Q96" s="6">
        <v>30700</v>
      </c>
      <c r="R96">
        <v>2021</v>
      </c>
      <c r="S96" s="7" t="s">
        <v>47</v>
      </c>
      <c r="T96" s="7" t="s">
        <v>47</v>
      </c>
      <c r="U96" s="7" t="s">
        <v>47</v>
      </c>
      <c r="V96">
        <v>0.01</v>
      </c>
      <c r="W96" s="8" t="s">
        <v>48</v>
      </c>
      <c r="X96" t="s">
        <v>49</v>
      </c>
      <c r="Y96" s="4" t="str">
        <f>HYPERLINK("https://ssb.ee/90007359-ID/kohustused-volad-kohtulahendid","link")</f>
        <v>link</v>
      </c>
      <c r="Z96">
        <v>7390</v>
      </c>
      <c r="AA96" s="4" t="str">
        <f>HYPERLINK("https://ssb.ee/90007359-ID/finantsid-varad-prognoosid","link")</f>
        <v>link</v>
      </c>
      <c r="AB96" s="6">
        <v>223898</v>
      </c>
      <c r="AC96" s="6">
        <v>237125</v>
      </c>
      <c r="AD96" s="6" t="s">
        <v>47</v>
      </c>
      <c r="AE96">
        <v>130</v>
      </c>
      <c r="AF96" s="6">
        <v>4257368</v>
      </c>
      <c r="AG96" s="6">
        <v>1315</v>
      </c>
      <c r="AH96" s="4" t="str">
        <f>HYPERLINK("https://ssb.ee/90007359-ID/tootajad-palgad","link")</f>
        <v>link</v>
      </c>
      <c r="AI96" t="s">
        <v>774</v>
      </c>
      <c r="AJ96">
        <v>0.216</v>
      </c>
      <c r="AK96" s="9" t="s">
        <v>51</v>
      </c>
      <c r="AL96" s="4" t="str">
        <f>HYPERLINK("https://ssb.ee/juhatuse-liikme-cv?id=542099","link")</f>
        <v>link</v>
      </c>
    </row>
    <row r="97" spans="1:38" x14ac:dyDescent="0.25">
      <c r="A97">
        <v>14993973</v>
      </c>
      <c r="B97" t="s">
        <v>775</v>
      </c>
      <c r="C97" s="3">
        <v>44001</v>
      </c>
      <c r="D97" t="s">
        <v>39</v>
      </c>
      <c r="E97" t="s">
        <v>776</v>
      </c>
      <c r="F97" s="4" t="str">
        <f>HYPERLINK("https://ssb.ee/14993973-ID/otsustajad-kasusaajad","link")</f>
        <v>link</v>
      </c>
      <c r="G97" t="s">
        <v>777</v>
      </c>
      <c r="H97" t="s">
        <v>778</v>
      </c>
      <c r="I97" s="4" t="str">
        <f>HYPERLINK("http://veront.com","link")</f>
        <v>link</v>
      </c>
      <c r="J97" t="s">
        <v>62</v>
      </c>
      <c r="K97" t="s">
        <v>779</v>
      </c>
      <c r="L97" t="s">
        <v>780</v>
      </c>
      <c r="M97" s="4" t="str">
        <f>HYPERLINK("https://ssb.ee/14993973-ID/meedia-arvamuslood","link")</f>
        <v>link</v>
      </c>
      <c r="N97" t="s">
        <v>47</v>
      </c>
      <c r="O97" t="s">
        <v>47</v>
      </c>
      <c r="P97" t="s">
        <v>47</v>
      </c>
      <c r="Q97" s="6">
        <v>400</v>
      </c>
      <c r="R97">
        <v>2021</v>
      </c>
      <c r="S97" s="7" t="s">
        <v>47</v>
      </c>
      <c r="T97" s="7" t="s">
        <v>47</v>
      </c>
      <c r="U97" s="7" t="s">
        <v>47</v>
      </c>
      <c r="V97">
        <v>0.01</v>
      </c>
      <c r="W97" s="8" t="s">
        <v>48</v>
      </c>
      <c r="X97" t="s">
        <v>49</v>
      </c>
      <c r="Y97" s="4" t="str">
        <f>HYPERLINK("https://ssb.ee/14993973-ID/kohustused-volad-kohtulahendid","link")</f>
        <v>link</v>
      </c>
      <c r="Z97">
        <v>3740</v>
      </c>
      <c r="AA97" s="4" t="str">
        <f>HYPERLINK("https://ssb.ee/14993973-ID/finantsid-varad-prognoosid","link")</f>
        <v>link</v>
      </c>
      <c r="AB97" s="6">
        <v>2817</v>
      </c>
      <c r="AC97" s="6">
        <v>3048</v>
      </c>
      <c r="AD97" s="6" t="s">
        <v>47</v>
      </c>
      <c r="AE97">
        <v>2</v>
      </c>
      <c r="AF97" s="6">
        <v>184359</v>
      </c>
      <c r="AG97" s="6">
        <v>1100</v>
      </c>
      <c r="AH97" s="4" t="str">
        <f>HYPERLINK("https://ssb.ee/14993973-ID/tootajad-palgad","link")</f>
        <v>link</v>
      </c>
      <c r="AI97" t="s">
        <v>781</v>
      </c>
      <c r="AJ97">
        <v>0.01</v>
      </c>
      <c r="AK97" s="8" t="s">
        <v>48</v>
      </c>
      <c r="AL97" s="4" t="str">
        <f>HYPERLINK("https://ssb.ee/juhatuse-liikme-cv?id=2082671","link")</f>
        <v>link</v>
      </c>
    </row>
    <row r="98" spans="1:38" x14ac:dyDescent="0.25">
      <c r="A98">
        <v>10087893</v>
      </c>
      <c r="B98" t="s">
        <v>782</v>
      </c>
      <c r="C98" s="3">
        <v>35374</v>
      </c>
      <c r="D98" t="s">
        <v>39</v>
      </c>
      <c r="E98" t="s">
        <v>783</v>
      </c>
      <c r="F98" s="4" t="str">
        <f>HYPERLINK("https://ssb.ee/10087893-ID/otsustajad-kasusaajad","link")</f>
        <v>link</v>
      </c>
      <c r="G98" t="s">
        <v>784</v>
      </c>
      <c r="H98" t="s">
        <v>785</v>
      </c>
      <c r="I98" s="4" t="str">
        <f>HYPERLINK("http://belest.ee","link")</f>
        <v>link</v>
      </c>
      <c r="J98" t="s">
        <v>43</v>
      </c>
      <c r="K98" t="s">
        <v>786</v>
      </c>
      <c r="L98" t="s">
        <v>787</v>
      </c>
      <c r="M98" s="4" t="str">
        <f>HYPERLINK("https://ssb.ee/10087893-ID/meedia-arvamuslood","link")</f>
        <v>link</v>
      </c>
      <c r="N98" t="s">
        <v>788</v>
      </c>
      <c r="O98" s="5">
        <v>34335</v>
      </c>
      <c r="P98" t="s">
        <v>47</v>
      </c>
      <c r="Q98" s="6">
        <v>46400</v>
      </c>
      <c r="R98">
        <v>2021</v>
      </c>
      <c r="S98" s="7" t="s">
        <v>47</v>
      </c>
      <c r="T98" s="7" t="s">
        <v>47</v>
      </c>
      <c r="U98" s="7" t="s">
        <v>47</v>
      </c>
      <c r="V98">
        <v>0.01</v>
      </c>
      <c r="W98" s="8" t="s">
        <v>48</v>
      </c>
      <c r="X98" t="s">
        <v>49</v>
      </c>
      <c r="Y98" s="4" t="str">
        <f>HYPERLINK("https://ssb.ee/10087893-ID/kohustused-volad-kohtulahendid","link")</f>
        <v>link</v>
      </c>
      <c r="Z98">
        <v>2560</v>
      </c>
      <c r="AA98" s="4" t="str">
        <f>HYPERLINK("https://ssb.ee/10087893-ID/finantsid-varad-prognoosid","link")</f>
        <v>link</v>
      </c>
      <c r="AB98" s="6">
        <v>70695</v>
      </c>
      <c r="AC98" s="6">
        <v>12586</v>
      </c>
      <c r="AD98" s="6">
        <v>612095</v>
      </c>
      <c r="AE98">
        <v>4</v>
      </c>
      <c r="AF98" s="6">
        <v>2489772</v>
      </c>
      <c r="AG98" s="6">
        <v>1920</v>
      </c>
      <c r="AH98" s="4" t="str">
        <f>HYPERLINK("https://ssb.ee/10087893-ID/tootajad-palgad","link")</f>
        <v>link</v>
      </c>
      <c r="AI98" t="s">
        <v>789</v>
      </c>
      <c r="AJ98">
        <v>0.20799999999999999</v>
      </c>
      <c r="AK98" s="9" t="s">
        <v>51</v>
      </c>
      <c r="AL98" s="4" t="str">
        <f>HYPERLINK("https://ssb.ee/juhatuse-liikme-cv?id=294573","link")</f>
        <v>link</v>
      </c>
    </row>
    <row r="99" spans="1:38" x14ac:dyDescent="0.25">
      <c r="A99">
        <v>80132187</v>
      </c>
      <c r="B99" t="s">
        <v>790</v>
      </c>
      <c r="C99" s="3">
        <v>36763</v>
      </c>
      <c r="D99" t="s">
        <v>39</v>
      </c>
      <c r="E99" t="s">
        <v>791</v>
      </c>
      <c r="F99" s="4" t="str">
        <f>HYPERLINK("https://ssb.ee/80132187-ID/otsustajad-kasusaajad","link")</f>
        <v>link</v>
      </c>
      <c r="G99" t="s">
        <v>792</v>
      </c>
      <c r="H99" t="s">
        <v>793</v>
      </c>
      <c r="I99" s="4" t="str">
        <f>HYPERLINK("https://audentes.ee/spordiklubi/","link")</f>
        <v>link</v>
      </c>
      <c r="J99" t="s">
        <v>228</v>
      </c>
      <c r="K99" t="s">
        <v>794</v>
      </c>
      <c r="L99" t="s">
        <v>795</v>
      </c>
      <c r="M99" s="4" t="str">
        <f>HYPERLINK("https://ssb.ee/80132187-ID/meedia-arvamuslood","link")</f>
        <v>link</v>
      </c>
      <c r="N99" t="s">
        <v>796</v>
      </c>
      <c r="O99" s="5">
        <v>37742</v>
      </c>
      <c r="P99" t="s">
        <v>47</v>
      </c>
      <c r="Q99" s="6">
        <v>18500</v>
      </c>
      <c r="R99">
        <v>2020</v>
      </c>
      <c r="S99" s="7" t="s">
        <v>47</v>
      </c>
      <c r="T99" s="7" t="s">
        <v>47</v>
      </c>
      <c r="U99" s="7" t="s">
        <v>47</v>
      </c>
      <c r="V99">
        <v>0.01</v>
      </c>
      <c r="W99" s="8" t="s">
        <v>48</v>
      </c>
      <c r="X99" t="s">
        <v>49</v>
      </c>
      <c r="Y99" s="4" t="str">
        <f>HYPERLINK("https://ssb.ee/80132187-ID/kohustused-volad-kohtulahendid","link")</f>
        <v>link</v>
      </c>
      <c r="Z99">
        <v>4220</v>
      </c>
      <c r="AA99" s="4" t="str">
        <f>HYPERLINK("https://ssb.ee/80132187-ID/finantsid-varad-prognoosid","link")</f>
        <v>link</v>
      </c>
      <c r="AB99" s="6">
        <v>122885</v>
      </c>
      <c r="AC99" s="6">
        <v>126498</v>
      </c>
      <c r="AD99" s="6">
        <v>27459</v>
      </c>
      <c r="AE99">
        <v>68</v>
      </c>
      <c r="AF99" s="6">
        <v>96243</v>
      </c>
      <c r="AG99" s="6">
        <v>1315</v>
      </c>
      <c r="AH99" s="4" t="str">
        <f>HYPERLINK("https://ssb.ee/80132187-ID/tootajad-palgad","link")</f>
        <v>link</v>
      </c>
      <c r="AI99" t="s">
        <v>797</v>
      </c>
      <c r="AJ99">
        <v>0.25800000000000001</v>
      </c>
      <c r="AK99" s="9" t="s">
        <v>51</v>
      </c>
      <c r="AL99" s="4" t="str">
        <f>HYPERLINK("https://ssb.ee/juhatuse-liikme-cv?id=592748","link")</f>
        <v>link</v>
      </c>
    </row>
    <row r="100" spans="1:38" x14ac:dyDescent="0.25">
      <c r="A100">
        <v>12771820</v>
      </c>
      <c r="B100" t="s">
        <v>798</v>
      </c>
      <c r="C100" s="3">
        <v>41992</v>
      </c>
      <c r="D100" t="s">
        <v>39</v>
      </c>
      <c r="E100" t="s">
        <v>799</v>
      </c>
      <c r="F100" s="4" t="str">
        <f>HYPERLINK("https://ssb.ee/12771820-ID/otsustajad-kasusaajad","link")</f>
        <v>link</v>
      </c>
      <c r="G100" t="s">
        <v>800</v>
      </c>
      <c r="H100" t="s">
        <v>801</v>
      </c>
      <c r="I100" s="4" t="str">
        <f>HYPERLINK("http://vdf.fi","link")</f>
        <v>link</v>
      </c>
      <c r="J100" t="s">
        <v>61</v>
      </c>
      <c r="K100" t="s">
        <v>99</v>
      </c>
      <c r="L100" t="s">
        <v>100</v>
      </c>
      <c r="M100" s="4" t="str">
        <f>HYPERLINK("https://ssb.ee/12771820-ID/meedia-arvamuslood","link")</f>
        <v>link</v>
      </c>
      <c r="N100" t="s">
        <v>802</v>
      </c>
      <c r="O100" s="5">
        <v>43311</v>
      </c>
      <c r="P100" t="s">
        <v>47</v>
      </c>
      <c r="Q100" s="6">
        <v>4200</v>
      </c>
      <c r="R100">
        <v>2021</v>
      </c>
      <c r="S100" s="7" t="s">
        <v>47</v>
      </c>
      <c r="T100" s="7" t="s">
        <v>47</v>
      </c>
      <c r="U100" s="7" t="s">
        <v>47</v>
      </c>
      <c r="V100">
        <v>0.01</v>
      </c>
      <c r="W100" s="8" t="s">
        <v>48</v>
      </c>
      <c r="X100" t="s">
        <v>49</v>
      </c>
      <c r="Y100" s="4" t="str">
        <f>HYPERLINK("https://ssb.ee/12771820-ID/kohustused-volad-kohtulahendid","link")</f>
        <v>link</v>
      </c>
      <c r="Z100">
        <v>2770</v>
      </c>
      <c r="AA100" s="4" t="str">
        <f>HYPERLINK("https://ssb.ee/12771820-ID/finantsid-varad-prognoosid","link")</f>
        <v>link</v>
      </c>
      <c r="AB100" s="6">
        <v>36999</v>
      </c>
      <c r="AC100" s="6">
        <v>5231</v>
      </c>
      <c r="AD100" s="6">
        <v>20962</v>
      </c>
      <c r="AE100" t="s">
        <v>47</v>
      </c>
      <c r="AF100" s="6">
        <v>50630</v>
      </c>
      <c r="AG100" s="6" t="s">
        <v>47</v>
      </c>
      <c r="AH100" s="4" t="str">
        <f>HYPERLINK("https://ssb.ee/12771820-ID/tootajad-palgad","link")</f>
        <v>link</v>
      </c>
      <c r="AI100" t="s">
        <v>803</v>
      </c>
      <c r="AJ100">
        <v>0.01</v>
      </c>
      <c r="AK100" s="8" t="s">
        <v>48</v>
      </c>
      <c r="AL100" s="4" t="str">
        <f>HYPERLINK("https://ssb.ee/juhatuse-liikme-cv?id=1478552","link")</f>
        <v>link</v>
      </c>
    </row>
    <row r="101" spans="1:38" x14ac:dyDescent="0.25">
      <c r="A101">
        <v>14401145</v>
      </c>
      <c r="B101" t="s">
        <v>804</v>
      </c>
      <c r="C101" s="3">
        <v>43104</v>
      </c>
      <c r="D101" t="s">
        <v>39</v>
      </c>
      <c r="E101" t="s">
        <v>805</v>
      </c>
      <c r="F101" s="4" t="str">
        <f>HYPERLINK("https://ssb.ee/14401145-ID/otsustajad-kasusaajad","link")</f>
        <v>link</v>
      </c>
      <c r="G101" t="s">
        <v>806</v>
      </c>
      <c r="H101" t="s">
        <v>807</v>
      </c>
      <c r="I101" s="4" t="str">
        <f>HYPERLINK("http://rannusaeveski.ee","link")</f>
        <v>link</v>
      </c>
      <c r="J101" t="s">
        <v>196</v>
      </c>
      <c r="K101" t="s">
        <v>297</v>
      </c>
      <c r="L101" t="s">
        <v>298</v>
      </c>
      <c r="M101" s="4" t="str">
        <f>HYPERLINK("https://ssb.ee/14401145-ID/meedia-arvamuslood","link")</f>
        <v>link</v>
      </c>
      <c r="N101" t="s">
        <v>808</v>
      </c>
      <c r="O101" s="5">
        <v>43111</v>
      </c>
      <c r="P101" t="s">
        <v>47</v>
      </c>
      <c r="Q101" s="6">
        <v>35900</v>
      </c>
      <c r="R101">
        <v>2021</v>
      </c>
      <c r="S101" s="7" t="s">
        <v>47</v>
      </c>
      <c r="T101" s="7" t="s">
        <v>47</v>
      </c>
      <c r="U101" s="7" t="s">
        <v>47</v>
      </c>
      <c r="V101">
        <v>0.01</v>
      </c>
      <c r="W101" s="8" t="s">
        <v>48</v>
      </c>
      <c r="X101" t="s">
        <v>49</v>
      </c>
      <c r="Y101" s="4" t="str">
        <f>HYPERLINK("https://ssb.ee/14401145-ID/kohustused-volad-kohtulahendid","link")</f>
        <v>link</v>
      </c>
      <c r="Z101">
        <v>3610</v>
      </c>
      <c r="AA101" s="4" t="str">
        <f>HYPERLINK("https://ssb.ee/14401145-ID/finantsid-varad-prognoosid","link")</f>
        <v>link</v>
      </c>
      <c r="AB101" s="6">
        <v>67864</v>
      </c>
      <c r="AC101" s="6">
        <v>31840</v>
      </c>
      <c r="AD101" s="6">
        <v>438635</v>
      </c>
      <c r="AE101">
        <v>22</v>
      </c>
      <c r="AF101" s="6">
        <v>1403814</v>
      </c>
      <c r="AG101" s="6">
        <v>1040</v>
      </c>
      <c r="AH101" s="4" t="str">
        <f>HYPERLINK("https://ssb.ee/14401145-ID/tootajad-palgad","link")</f>
        <v>link</v>
      </c>
      <c r="AI101" t="s">
        <v>809</v>
      </c>
      <c r="AJ101">
        <v>1.2999999999999999E-2</v>
      </c>
      <c r="AK101" s="8" t="s">
        <v>48</v>
      </c>
      <c r="AL101" s="4" t="str">
        <f>HYPERLINK("https://ssb.ee/juhatuse-liikme-cv?id=300261","link")</f>
        <v>link</v>
      </c>
    </row>
    <row r="102" spans="1:38" x14ac:dyDescent="0.25">
      <c r="A102">
        <v>12691742</v>
      </c>
      <c r="B102" t="s">
        <v>810</v>
      </c>
      <c r="C102" s="3">
        <v>41837</v>
      </c>
      <c r="D102" t="s">
        <v>39</v>
      </c>
      <c r="E102" t="s">
        <v>811</v>
      </c>
      <c r="F102" s="4" t="str">
        <f>HYPERLINK("https://ssb.ee/12691742-ID/otsustajad-kasusaajad","link")</f>
        <v>link</v>
      </c>
      <c r="G102" t="s">
        <v>812</v>
      </c>
      <c r="H102" t="s">
        <v>813</v>
      </c>
      <c r="I102" s="4" t="str">
        <f>HYPERLINK("https://eurofasteners.fi/fi/etusivu/","link")</f>
        <v>link</v>
      </c>
      <c r="J102" t="s">
        <v>43</v>
      </c>
      <c r="K102" t="s">
        <v>115</v>
      </c>
      <c r="L102" t="s">
        <v>116</v>
      </c>
      <c r="M102" s="4" t="str">
        <f>HYPERLINK("https://ssb.ee/12691742-ID/meedia-arvamuslood","link")</f>
        <v>link</v>
      </c>
      <c r="N102" t="s">
        <v>814</v>
      </c>
      <c r="O102" s="5">
        <v>41858</v>
      </c>
      <c r="P102" t="s">
        <v>47</v>
      </c>
      <c r="Q102" s="6">
        <v>100000</v>
      </c>
      <c r="R102">
        <v>2021</v>
      </c>
      <c r="S102" s="7" t="s">
        <v>47</v>
      </c>
      <c r="T102" s="7" t="s">
        <v>47</v>
      </c>
      <c r="U102" s="7" t="s">
        <v>47</v>
      </c>
      <c r="V102">
        <v>0.01</v>
      </c>
      <c r="W102" s="8" t="s">
        <v>48</v>
      </c>
      <c r="X102" t="s">
        <v>49</v>
      </c>
      <c r="Y102" s="4" t="str">
        <f>HYPERLINK("https://ssb.ee/12691742-ID/kohustused-volad-kohtulahendid","link")</f>
        <v>link</v>
      </c>
      <c r="Z102">
        <v>5290</v>
      </c>
      <c r="AA102" s="4" t="str">
        <f>HYPERLINK("https://ssb.ee/12691742-ID/finantsid-varad-prognoosid","link")</f>
        <v>link</v>
      </c>
      <c r="AB102" s="6" t="s">
        <v>47</v>
      </c>
      <c r="AC102" s="6">
        <v>30333</v>
      </c>
      <c r="AD102" s="6">
        <v>2649939</v>
      </c>
      <c r="AE102">
        <v>11</v>
      </c>
      <c r="AF102" s="6">
        <v>8309324</v>
      </c>
      <c r="AG102" s="6">
        <v>1770</v>
      </c>
      <c r="AH102" s="4" t="str">
        <f>HYPERLINK("https://ssb.ee/12691742-ID/tootajad-palgad","link")</f>
        <v>link</v>
      </c>
      <c r="AI102" t="s">
        <v>815</v>
      </c>
      <c r="AJ102">
        <v>0.01</v>
      </c>
      <c r="AK102" s="8" t="s">
        <v>48</v>
      </c>
      <c r="AL102" s="4" t="str">
        <f>HYPERLINK("https://ssb.ee/juhatuse-liikme-cv?id=2173337","link")</f>
        <v>link</v>
      </c>
    </row>
    <row r="103" spans="1:38" x14ac:dyDescent="0.25">
      <c r="A103">
        <v>75007209</v>
      </c>
      <c r="B103" t="s">
        <v>816</v>
      </c>
      <c r="C103" s="3">
        <v>33961</v>
      </c>
      <c r="D103" t="s">
        <v>39</v>
      </c>
      <c r="E103" t="s">
        <v>817</v>
      </c>
      <c r="F103" s="4" t="str">
        <f>HYPERLINK("https://ssb.ee/75007209-ID/otsustajad-kasusaajad","link")</f>
        <v>link</v>
      </c>
      <c r="G103" t="s">
        <v>818</v>
      </c>
      <c r="H103" t="s">
        <v>819</v>
      </c>
      <c r="I103" s="4" t="str">
        <f>HYPERLINK("https://roomumaa.ee/ ","link")</f>
        <v>link</v>
      </c>
      <c r="J103" t="s">
        <v>65</v>
      </c>
      <c r="K103" t="s">
        <v>66</v>
      </c>
      <c r="L103" t="s">
        <v>67</v>
      </c>
      <c r="M103" s="4" t="str">
        <f>HYPERLINK("https://ssb.ee/75007209-ID/meedia-arvamuslood","link")</f>
        <v>link</v>
      </c>
      <c r="N103" t="s">
        <v>47</v>
      </c>
      <c r="O103" t="s">
        <v>47</v>
      </c>
      <c r="P103" t="s">
        <v>47</v>
      </c>
      <c r="Q103" s="6" t="s">
        <v>47</v>
      </c>
      <c r="R103" t="s">
        <v>47</v>
      </c>
      <c r="S103" s="7" t="s">
        <v>47</v>
      </c>
      <c r="T103" s="7" t="s">
        <v>47</v>
      </c>
      <c r="U103" s="7" t="s">
        <v>47</v>
      </c>
      <c r="V103">
        <v>0.01</v>
      </c>
      <c r="W103" s="8" t="s">
        <v>48</v>
      </c>
      <c r="X103" t="s">
        <v>49</v>
      </c>
      <c r="Y103" s="4" t="str">
        <f>HYPERLINK("https://ssb.ee/75007209-ID/kohustused-volad-kohtulahendid","link")</f>
        <v>link</v>
      </c>
      <c r="Z103">
        <v>1940</v>
      </c>
      <c r="AA103" s="4" t="str">
        <f>HYPERLINK("https://ssb.ee/75007209-ID/finantsid-varad-prognoosid","link")</f>
        <v>link</v>
      </c>
      <c r="AB103" s="6" t="s">
        <v>47</v>
      </c>
      <c r="AC103" s="6" t="s">
        <v>47</v>
      </c>
      <c r="AD103" s="6" t="s">
        <v>47</v>
      </c>
      <c r="AE103">
        <v>66</v>
      </c>
      <c r="AF103" s="6" t="s">
        <v>47</v>
      </c>
      <c r="AG103" s="6" t="s">
        <v>47</v>
      </c>
      <c r="AH103" s="4" t="str">
        <f>HYPERLINK("https://ssb.ee/75007209-ID/tootajad-palgad","link")</f>
        <v>link</v>
      </c>
      <c r="AI103" t="s">
        <v>820</v>
      </c>
      <c r="AJ103">
        <v>0.01</v>
      </c>
      <c r="AK103" s="8" t="s">
        <v>48</v>
      </c>
      <c r="AL103" s="4" t="str">
        <f>HYPERLINK("https://ssb.ee/juhatuse-liikme-cv?id=1167212","link")</f>
        <v>link</v>
      </c>
    </row>
    <row r="104" spans="1:38" x14ac:dyDescent="0.25">
      <c r="A104">
        <v>10379035</v>
      </c>
      <c r="B104" t="s">
        <v>821</v>
      </c>
      <c r="C104" s="3">
        <v>34639</v>
      </c>
      <c r="D104" t="s">
        <v>39</v>
      </c>
      <c r="E104" t="s">
        <v>822</v>
      </c>
      <c r="F104" s="4" t="str">
        <f>HYPERLINK("https://ssb.ee/10379035-ID/otsustajad-kasusaajad","link")</f>
        <v>link</v>
      </c>
      <c r="G104" t="s">
        <v>823</v>
      </c>
      <c r="H104" t="s">
        <v>824</v>
      </c>
      <c r="I104" s="4" t="str">
        <f>HYPERLINK("http://industek.ee","link")</f>
        <v>link</v>
      </c>
      <c r="J104" t="s">
        <v>43</v>
      </c>
      <c r="K104" t="s">
        <v>188</v>
      </c>
      <c r="L104" t="s">
        <v>189</v>
      </c>
      <c r="M104" s="4" t="str">
        <f>HYPERLINK("https://ssb.ee/10379035-ID/meedia-arvamuslood","link")</f>
        <v>link</v>
      </c>
      <c r="N104" t="s">
        <v>825</v>
      </c>
      <c r="O104" s="5">
        <v>34639</v>
      </c>
      <c r="P104" t="s">
        <v>47</v>
      </c>
      <c r="Q104" s="6">
        <v>61700</v>
      </c>
      <c r="R104">
        <v>2021</v>
      </c>
      <c r="S104" s="7" t="s">
        <v>47</v>
      </c>
      <c r="T104" s="7" t="s">
        <v>47</v>
      </c>
      <c r="U104" s="7" t="s">
        <v>47</v>
      </c>
      <c r="V104">
        <v>0.01</v>
      </c>
      <c r="W104" s="8" t="s">
        <v>48</v>
      </c>
      <c r="X104" t="s">
        <v>49</v>
      </c>
      <c r="Y104" s="4" t="str">
        <f>HYPERLINK("https://ssb.ee/10379035-ID/kohustused-volad-kohtulahendid","link")</f>
        <v>link</v>
      </c>
      <c r="Z104">
        <v>2150</v>
      </c>
      <c r="AA104" s="4" t="str">
        <f>HYPERLINK("https://ssb.ee/10379035-ID/finantsid-varad-prognoosid","link")</f>
        <v>link</v>
      </c>
      <c r="AB104" s="6">
        <v>74417</v>
      </c>
      <c r="AC104" s="6">
        <v>15358</v>
      </c>
      <c r="AD104" s="6">
        <v>836022</v>
      </c>
      <c r="AE104">
        <v>4</v>
      </c>
      <c r="AF104" s="6">
        <v>1483593</v>
      </c>
      <c r="AG104" s="6">
        <v>2270</v>
      </c>
      <c r="AH104" s="4" t="str">
        <f>HYPERLINK("https://ssb.ee/10379035-ID/tootajad-palgad","link")</f>
        <v>link</v>
      </c>
      <c r="AI104" t="s">
        <v>826</v>
      </c>
      <c r="AJ104">
        <v>0.01</v>
      </c>
      <c r="AK104" s="8" t="s">
        <v>48</v>
      </c>
      <c r="AL104" s="4" t="str">
        <f>HYPERLINK("https://ssb.ee/juhatuse-liikme-cv?id=280147","link")</f>
        <v>link</v>
      </c>
    </row>
    <row r="105" spans="1:38" x14ac:dyDescent="0.25">
      <c r="A105">
        <v>10372286</v>
      </c>
      <c r="B105" t="s">
        <v>827</v>
      </c>
      <c r="C105" s="3">
        <v>34335</v>
      </c>
      <c r="D105" t="s">
        <v>39</v>
      </c>
      <c r="E105" t="s">
        <v>828</v>
      </c>
      <c r="F105" s="4" t="str">
        <f>HYPERLINK("https://ssb.ee/10372286-ID/otsustajad-kasusaajad","link")</f>
        <v>link</v>
      </c>
      <c r="G105" t="s">
        <v>829</v>
      </c>
      <c r="H105" t="s">
        <v>830</v>
      </c>
      <c r="I105" s="4" t="str">
        <f>HYPERLINK("http://oskar.ee","link")</f>
        <v>link</v>
      </c>
      <c r="J105" t="s">
        <v>196</v>
      </c>
      <c r="K105" t="s">
        <v>625</v>
      </c>
      <c r="L105" t="s">
        <v>626</v>
      </c>
      <c r="M105" s="4" t="str">
        <f>HYPERLINK("https://ssb.ee/10372286-ID/meedia-arvamuslood","link")</f>
        <v>link</v>
      </c>
      <c r="N105" t="s">
        <v>831</v>
      </c>
      <c r="O105" s="5">
        <v>34335</v>
      </c>
      <c r="P105" t="s">
        <v>47</v>
      </c>
      <c r="Q105" s="6">
        <v>100000</v>
      </c>
      <c r="R105">
        <v>2021</v>
      </c>
      <c r="S105" s="7" t="s">
        <v>47</v>
      </c>
      <c r="T105" s="7" t="s">
        <v>47</v>
      </c>
      <c r="U105" s="7" t="s">
        <v>47</v>
      </c>
      <c r="V105">
        <v>0.01</v>
      </c>
      <c r="W105" s="8" t="s">
        <v>48</v>
      </c>
      <c r="X105" t="s">
        <v>49</v>
      </c>
      <c r="Y105" s="4" t="str">
        <f>HYPERLINK("https://ssb.ee/10372286-ID/kohustused-volad-kohtulahendid","link")</f>
        <v>link</v>
      </c>
      <c r="Z105">
        <v>11180</v>
      </c>
      <c r="AA105" s="4" t="str">
        <f>HYPERLINK("https://ssb.ee/10372286-ID/finantsid-varad-prognoosid","link")</f>
        <v>link</v>
      </c>
      <c r="AB105" s="6">
        <v>193068</v>
      </c>
      <c r="AC105" s="6">
        <v>125819</v>
      </c>
      <c r="AD105" s="6">
        <v>1675389</v>
      </c>
      <c r="AE105">
        <v>70</v>
      </c>
      <c r="AF105" s="6">
        <v>7398146</v>
      </c>
      <c r="AG105" s="6">
        <v>1240</v>
      </c>
      <c r="AH105" s="4" t="str">
        <f>HYPERLINK("https://ssb.ee/10372286-ID/tootajad-palgad","link")</f>
        <v>link</v>
      </c>
      <c r="AI105" t="s">
        <v>832</v>
      </c>
      <c r="AJ105">
        <v>0.34</v>
      </c>
      <c r="AK105" s="9" t="s">
        <v>51</v>
      </c>
      <c r="AL105" s="4" t="str">
        <f>HYPERLINK("https://ssb.ee/juhatuse-liikme-cv?id=236774","link")</f>
        <v>link</v>
      </c>
    </row>
    <row r="106" spans="1:38" x14ac:dyDescent="0.25">
      <c r="A106">
        <v>11393103</v>
      </c>
      <c r="B106" t="s">
        <v>833</v>
      </c>
      <c r="C106" s="3">
        <v>39223</v>
      </c>
      <c r="D106" t="s">
        <v>39</v>
      </c>
      <c r="E106" t="s">
        <v>834</v>
      </c>
      <c r="F106" s="4" t="str">
        <f>HYPERLINK("https://ssb.ee/11393103-ID/otsustajad-kasusaajad","link")</f>
        <v>link</v>
      </c>
      <c r="G106" t="s">
        <v>835</v>
      </c>
      <c r="H106" t="s">
        <v>836</v>
      </c>
      <c r="I106" s="4" t="str">
        <f>HYPERLINK("http://biobalt.com","link")</f>
        <v>link</v>
      </c>
      <c r="J106" t="s">
        <v>56</v>
      </c>
      <c r="K106" t="s">
        <v>837</v>
      </c>
      <c r="L106" t="s">
        <v>838</v>
      </c>
      <c r="M106" s="4" t="str">
        <f>HYPERLINK("https://ssb.ee/11393103-ID/meedia-arvamuslood","link")</f>
        <v>link</v>
      </c>
      <c r="N106" t="s">
        <v>839</v>
      </c>
      <c r="O106" s="5">
        <v>39264</v>
      </c>
      <c r="P106" t="s">
        <v>47</v>
      </c>
      <c r="Q106" s="6" t="s">
        <v>47</v>
      </c>
      <c r="R106">
        <v>2021</v>
      </c>
      <c r="S106" s="7" t="s">
        <v>47</v>
      </c>
      <c r="T106" s="7" t="s">
        <v>47</v>
      </c>
      <c r="U106" s="7" t="s">
        <v>47</v>
      </c>
      <c r="V106">
        <v>0.01</v>
      </c>
      <c r="W106" s="8" t="s">
        <v>48</v>
      </c>
      <c r="X106" t="s">
        <v>49</v>
      </c>
      <c r="Y106" s="4" t="str">
        <f>HYPERLINK("https://ssb.ee/11393103-ID/kohustused-volad-kohtulahendid","link")</f>
        <v>link</v>
      </c>
      <c r="Z106">
        <v>3270</v>
      </c>
      <c r="AA106" s="4" t="str">
        <f>HYPERLINK("https://ssb.ee/11393103-ID/finantsid-varad-prognoosid","link")</f>
        <v>link</v>
      </c>
      <c r="AB106" s="6" t="s">
        <v>47</v>
      </c>
      <c r="AC106" s="6" t="s">
        <v>47</v>
      </c>
      <c r="AD106" s="6" t="s">
        <v>47</v>
      </c>
      <c r="AE106">
        <v>1</v>
      </c>
      <c r="AF106" s="6" t="s">
        <v>47</v>
      </c>
      <c r="AG106" s="6" t="s">
        <v>47</v>
      </c>
      <c r="AH106" s="4" t="str">
        <f>HYPERLINK("https://ssb.ee/11393103-ID/tootajad-palgad","link")</f>
        <v>link</v>
      </c>
      <c r="AI106" t="s">
        <v>840</v>
      </c>
      <c r="AJ106">
        <v>0.45</v>
      </c>
      <c r="AK106" s="11" t="s">
        <v>150</v>
      </c>
      <c r="AL106" s="4" t="str">
        <f>HYPERLINK("https://ssb.ee/juhatuse-liikme-cv?id=330650","link")</f>
        <v>link</v>
      </c>
    </row>
    <row r="107" spans="1:38" x14ac:dyDescent="0.25">
      <c r="A107">
        <v>10256249</v>
      </c>
      <c r="B107" t="s">
        <v>841</v>
      </c>
      <c r="C107" s="3">
        <v>35034</v>
      </c>
      <c r="D107" t="s">
        <v>39</v>
      </c>
      <c r="E107" t="s">
        <v>842</v>
      </c>
      <c r="F107" s="4" t="str">
        <f>HYPERLINK("https://ssb.ee/10256249-ID/otsustajad-kasusaajad","link")</f>
        <v>link</v>
      </c>
      <c r="G107" t="s">
        <v>843</v>
      </c>
      <c r="H107" t="s">
        <v>844</v>
      </c>
      <c r="I107" s="4" t="str">
        <f>HYPERLINK("http://landforsale.ee ","link")</f>
        <v>link</v>
      </c>
      <c r="J107" t="s">
        <v>155</v>
      </c>
      <c r="K107" t="s">
        <v>417</v>
      </c>
      <c r="L107" t="s">
        <v>418</v>
      </c>
      <c r="M107" s="4" t="str">
        <f>HYPERLINK("https://ssb.ee/10256249-ID/meedia-arvamuslood","link")</f>
        <v>link</v>
      </c>
      <c r="N107" t="s">
        <v>845</v>
      </c>
      <c r="O107" s="5">
        <v>35034</v>
      </c>
      <c r="P107" t="s">
        <v>47</v>
      </c>
      <c r="Q107" s="6">
        <v>3200</v>
      </c>
      <c r="R107">
        <v>2021</v>
      </c>
      <c r="S107" s="7" t="s">
        <v>47</v>
      </c>
      <c r="T107" s="7" t="s">
        <v>47</v>
      </c>
      <c r="U107" s="7" t="s">
        <v>47</v>
      </c>
      <c r="V107">
        <v>0.01</v>
      </c>
      <c r="W107" s="8" t="s">
        <v>48</v>
      </c>
      <c r="X107" t="s">
        <v>49</v>
      </c>
      <c r="Y107" s="4" t="str">
        <f>HYPERLINK("https://ssb.ee/10256249-ID/kohustused-volad-kohtulahendid","link")</f>
        <v>link</v>
      </c>
      <c r="Z107">
        <v>2580</v>
      </c>
      <c r="AA107" s="4" t="str">
        <f>HYPERLINK("https://ssb.ee/10256249-ID/finantsid-varad-prognoosid","link")</f>
        <v>link</v>
      </c>
      <c r="AB107" s="6">
        <v>16037</v>
      </c>
      <c r="AC107" s="6">
        <v>6675</v>
      </c>
      <c r="AD107" s="6">
        <v>25700</v>
      </c>
      <c r="AE107">
        <v>3</v>
      </c>
      <c r="AF107" s="6">
        <v>1458066</v>
      </c>
      <c r="AG107" s="6">
        <v>1465</v>
      </c>
      <c r="AH107" s="4" t="str">
        <f>HYPERLINK("https://ssb.ee/10256249-ID/tootajad-palgad","link")</f>
        <v>link</v>
      </c>
      <c r="AI107" t="s">
        <v>846</v>
      </c>
      <c r="AJ107">
        <v>0.01</v>
      </c>
      <c r="AK107" s="8" t="s">
        <v>48</v>
      </c>
      <c r="AL107" s="4" t="str">
        <f>HYPERLINK("https://ssb.ee/juhatuse-liikme-cv?id=275619","link")</f>
        <v>link</v>
      </c>
    </row>
    <row r="108" spans="1:38" x14ac:dyDescent="0.25">
      <c r="A108">
        <v>10210359</v>
      </c>
      <c r="B108" t="s">
        <v>847</v>
      </c>
      <c r="C108" s="3">
        <v>35578</v>
      </c>
      <c r="D108" t="s">
        <v>39</v>
      </c>
      <c r="E108" t="s">
        <v>848</v>
      </c>
      <c r="F108" s="4" t="str">
        <f>HYPERLINK("https://ssb.ee/10210359-ID/otsustajad-kasusaajad","link")</f>
        <v>link</v>
      </c>
      <c r="G108" t="s">
        <v>849</v>
      </c>
      <c r="H108" t="s">
        <v>850</v>
      </c>
      <c r="I108" s="4" t="str">
        <f>HYPERLINK("https://pmkaubandus.ee/ ","link")</f>
        <v>link</v>
      </c>
      <c r="J108" t="s">
        <v>351</v>
      </c>
      <c r="K108" t="s">
        <v>352</v>
      </c>
      <c r="L108" t="s">
        <v>353</v>
      </c>
      <c r="M108" s="4" t="str">
        <f>HYPERLINK("https://ssb.ee/10210359-ID/meedia-arvamuslood","link")</f>
        <v>link</v>
      </c>
      <c r="N108" t="s">
        <v>851</v>
      </c>
      <c r="O108" s="5">
        <v>34547</v>
      </c>
      <c r="P108" t="s">
        <v>47</v>
      </c>
      <c r="Q108" s="6">
        <v>51300</v>
      </c>
      <c r="R108">
        <v>2021</v>
      </c>
      <c r="S108" s="7" t="s">
        <v>47</v>
      </c>
      <c r="T108" s="7" t="s">
        <v>47</v>
      </c>
      <c r="U108" s="7" t="s">
        <v>47</v>
      </c>
      <c r="V108">
        <v>0.01</v>
      </c>
      <c r="W108" s="8" t="s">
        <v>48</v>
      </c>
      <c r="X108" t="s">
        <v>49</v>
      </c>
      <c r="Y108" s="4" t="str">
        <f>HYPERLINK("https://ssb.ee/10210359-ID/kohustused-volad-kohtulahendid","link")</f>
        <v>link</v>
      </c>
      <c r="Z108">
        <v>2230</v>
      </c>
      <c r="AA108" s="4" t="str">
        <f>HYPERLINK("https://ssb.ee/10210359-ID/finantsid-varad-prognoosid","link")</f>
        <v>link</v>
      </c>
      <c r="AB108" s="6">
        <v>96746</v>
      </c>
      <c r="AC108" s="6">
        <v>14250</v>
      </c>
      <c r="AD108" s="6">
        <v>657881</v>
      </c>
      <c r="AE108">
        <v>6</v>
      </c>
      <c r="AF108" s="6">
        <v>1924779</v>
      </c>
      <c r="AG108" s="6">
        <v>1540</v>
      </c>
      <c r="AH108" s="4" t="str">
        <f>HYPERLINK("https://ssb.ee/10210359-ID/tootajad-palgad","link")</f>
        <v>link</v>
      </c>
      <c r="AI108" t="s">
        <v>852</v>
      </c>
      <c r="AJ108">
        <v>0.01</v>
      </c>
      <c r="AK108" s="8" t="s">
        <v>48</v>
      </c>
      <c r="AL108" s="4" t="str">
        <f>HYPERLINK("https://ssb.ee/juhatuse-liikme-cv?id=286940","link")</f>
        <v>link</v>
      </c>
    </row>
    <row r="109" spans="1:38" x14ac:dyDescent="0.25">
      <c r="A109">
        <v>80123840</v>
      </c>
      <c r="B109" t="s">
        <v>853</v>
      </c>
      <c r="C109" s="3">
        <v>36626</v>
      </c>
      <c r="D109" t="s">
        <v>39</v>
      </c>
      <c r="E109" t="s">
        <v>854</v>
      </c>
      <c r="F109" s="4" t="str">
        <f>HYPERLINK("https://ssb.ee/80123840-ID/otsustajad-kasusaajad","link")</f>
        <v>link</v>
      </c>
      <c r="G109" t="s">
        <v>855</v>
      </c>
      <c r="H109" t="s">
        <v>856</v>
      </c>
      <c r="I109" s="4" t="str">
        <f>HYPERLINK("http://eel.ee","link")</f>
        <v>link</v>
      </c>
      <c r="J109" t="s">
        <v>223</v>
      </c>
      <c r="K109" t="s">
        <v>857</v>
      </c>
      <c r="L109" t="s">
        <v>858</v>
      </c>
      <c r="M109" s="4" t="str">
        <f>HYPERLINK("https://ssb.ee/80123840-ID/meedia-arvamuslood","link")</f>
        <v>link</v>
      </c>
      <c r="N109" t="s">
        <v>859</v>
      </c>
      <c r="O109" s="5">
        <v>36647</v>
      </c>
      <c r="P109" t="s">
        <v>47</v>
      </c>
      <c r="Q109" s="6">
        <v>26100</v>
      </c>
      <c r="R109">
        <v>2021</v>
      </c>
      <c r="S109" s="7" t="s">
        <v>47</v>
      </c>
      <c r="T109" s="7" t="s">
        <v>47</v>
      </c>
      <c r="U109" s="7" t="s">
        <v>47</v>
      </c>
      <c r="V109">
        <v>0.01</v>
      </c>
      <c r="W109" s="8" t="s">
        <v>48</v>
      </c>
      <c r="X109" t="s">
        <v>49</v>
      </c>
      <c r="Y109" s="4" t="str">
        <f>HYPERLINK("https://ssb.ee/80123840-ID/kohustused-volad-kohtulahendid","link")</f>
        <v>link</v>
      </c>
      <c r="Z109">
        <v>2280</v>
      </c>
      <c r="AA109" s="4" t="str">
        <f>HYPERLINK("https://ssb.ee/80123840-ID/finantsid-varad-prognoosid","link")</f>
        <v>link</v>
      </c>
      <c r="AB109" s="6">
        <v>180408</v>
      </c>
      <c r="AC109" s="6">
        <v>181161</v>
      </c>
      <c r="AD109" s="6">
        <v>30666</v>
      </c>
      <c r="AE109">
        <v>6</v>
      </c>
      <c r="AF109" s="6">
        <v>3128805</v>
      </c>
      <c r="AG109" s="6">
        <v>17760</v>
      </c>
      <c r="AH109" s="4" t="str">
        <f>HYPERLINK("https://ssb.ee/80123840-ID/tootajad-palgad","link")</f>
        <v>link</v>
      </c>
      <c r="AI109" t="s">
        <v>860</v>
      </c>
      <c r="AJ109">
        <v>0.56000000000000005</v>
      </c>
      <c r="AK109" s="11" t="s">
        <v>150</v>
      </c>
      <c r="AL109" s="4" t="str">
        <f>HYPERLINK("https://ssb.ee/juhatuse-liikme-cv?id=322357","link")</f>
        <v>link</v>
      </c>
    </row>
    <row r="110" spans="1:38" x14ac:dyDescent="0.25">
      <c r="A110">
        <v>11351613</v>
      </c>
      <c r="B110" t="s">
        <v>861</v>
      </c>
      <c r="C110" s="3">
        <v>39175</v>
      </c>
      <c r="D110" t="s">
        <v>39</v>
      </c>
      <c r="E110" t="s">
        <v>862</v>
      </c>
      <c r="F110" s="4" t="str">
        <f>HYPERLINK("https://ssb.ee/11351613-ID/otsustajad-kasusaajad","link")</f>
        <v>link</v>
      </c>
      <c r="G110" t="s">
        <v>863</v>
      </c>
      <c r="H110" t="s">
        <v>864</v>
      </c>
      <c r="I110" s="4" t="str">
        <f>HYPERLINK("http://sakalahaldus.ee","link")</f>
        <v>link</v>
      </c>
      <c r="J110" t="s">
        <v>218</v>
      </c>
      <c r="K110" t="s">
        <v>865</v>
      </c>
      <c r="L110" t="s">
        <v>866</v>
      </c>
      <c r="M110" s="4" t="str">
        <f>HYPERLINK("https://ssb.ee/11351613-ID/meedia-arvamuslood","link")</f>
        <v>link</v>
      </c>
      <c r="N110" t="s">
        <v>867</v>
      </c>
      <c r="O110" s="5">
        <v>39184</v>
      </c>
      <c r="P110" t="s">
        <v>47</v>
      </c>
      <c r="Q110" s="6">
        <v>21800</v>
      </c>
      <c r="R110">
        <v>2021</v>
      </c>
      <c r="S110" s="7" t="s">
        <v>47</v>
      </c>
      <c r="T110" s="7" t="s">
        <v>47</v>
      </c>
      <c r="U110" s="7" t="s">
        <v>47</v>
      </c>
      <c r="V110">
        <v>0.01</v>
      </c>
      <c r="W110" s="8" t="s">
        <v>48</v>
      </c>
      <c r="X110" t="s">
        <v>49</v>
      </c>
      <c r="Y110" s="4" t="str">
        <f>HYPERLINK("https://ssb.ee/11351613-ID/kohustused-volad-kohtulahendid","link")</f>
        <v>link</v>
      </c>
      <c r="Z110">
        <v>7150</v>
      </c>
      <c r="AA110" s="4" t="str">
        <f>HYPERLINK("https://ssb.ee/11351613-ID/finantsid-varad-prognoosid","link")</f>
        <v>link</v>
      </c>
      <c r="AB110" s="6">
        <v>46502</v>
      </c>
      <c r="AC110" s="6">
        <v>28101</v>
      </c>
      <c r="AD110" s="6">
        <v>251700</v>
      </c>
      <c r="AE110">
        <v>19</v>
      </c>
      <c r="AF110" s="6">
        <v>1118509</v>
      </c>
      <c r="AG110" s="6">
        <v>1100</v>
      </c>
      <c r="AH110" s="4" t="str">
        <f>HYPERLINK("https://ssb.ee/11351613-ID/tootajad-palgad","link")</f>
        <v>link</v>
      </c>
      <c r="AI110" t="s">
        <v>868</v>
      </c>
      <c r="AJ110">
        <v>7.0000000000000001E-3</v>
      </c>
      <c r="AK110" s="8" t="s">
        <v>48</v>
      </c>
      <c r="AL110" s="4" t="str">
        <f>HYPERLINK("https://ssb.ee/juhatuse-liikme-cv?id=467759","link")</f>
        <v>link</v>
      </c>
    </row>
    <row r="111" spans="1:38" x14ac:dyDescent="0.25">
      <c r="A111">
        <v>10449847</v>
      </c>
      <c r="B111" t="s">
        <v>869</v>
      </c>
      <c r="C111" s="3">
        <v>35923</v>
      </c>
      <c r="D111" t="s">
        <v>39</v>
      </c>
      <c r="E111" t="s">
        <v>870</v>
      </c>
      <c r="F111" s="4" t="str">
        <f>HYPERLINK("https://ssb.ee/10449847-ID/otsustajad-kasusaajad","link")</f>
        <v>link</v>
      </c>
      <c r="G111" t="s">
        <v>871</v>
      </c>
      <c r="H111" t="s">
        <v>872</v>
      </c>
      <c r="I111" s="4" t="str">
        <f>HYPERLINK("https://teemeise.ee/haridusasutuste-varustamine/kool-ja-teadus ","link")</f>
        <v>link</v>
      </c>
      <c r="J111" t="s">
        <v>43</v>
      </c>
      <c r="K111" t="s">
        <v>115</v>
      </c>
      <c r="L111" t="s">
        <v>116</v>
      </c>
      <c r="M111" s="4" t="str">
        <f>HYPERLINK("https://ssb.ee/10449847-ID/meedia-arvamuslood","link")</f>
        <v>link</v>
      </c>
      <c r="N111" t="s">
        <v>873</v>
      </c>
      <c r="O111" s="5">
        <v>35947</v>
      </c>
      <c r="P111" t="s">
        <v>47</v>
      </c>
      <c r="Q111" s="6">
        <v>24800</v>
      </c>
      <c r="R111">
        <v>2021</v>
      </c>
      <c r="S111" s="7" t="s">
        <v>47</v>
      </c>
      <c r="T111" s="7" t="s">
        <v>47</v>
      </c>
      <c r="U111" s="7" t="s">
        <v>47</v>
      </c>
      <c r="V111">
        <v>0.01</v>
      </c>
      <c r="W111" s="8" t="s">
        <v>48</v>
      </c>
      <c r="X111" t="s">
        <v>49</v>
      </c>
      <c r="Y111" s="4" t="str">
        <f>HYPERLINK("https://ssb.ee/10449847-ID/kohustused-volad-kohtulahendid","link")</f>
        <v>link</v>
      </c>
      <c r="Z111">
        <v>6910</v>
      </c>
      <c r="AA111" s="4" t="str">
        <f>HYPERLINK("https://ssb.ee/10449847-ID/finantsid-varad-prognoosid","link")</f>
        <v>link</v>
      </c>
      <c r="AB111" s="6">
        <v>29497</v>
      </c>
      <c r="AC111" s="6">
        <v>20157</v>
      </c>
      <c r="AD111" s="6">
        <v>322853</v>
      </c>
      <c r="AE111">
        <v>6</v>
      </c>
      <c r="AF111" s="6">
        <v>1105368</v>
      </c>
      <c r="AG111" s="6">
        <v>2070</v>
      </c>
      <c r="AH111" s="4" t="str">
        <f>HYPERLINK("https://ssb.ee/10449847-ID/tootajad-palgad","link")</f>
        <v>link</v>
      </c>
      <c r="AI111" t="s">
        <v>874</v>
      </c>
      <c r="AJ111">
        <v>0.30499999999999999</v>
      </c>
      <c r="AK111" s="9" t="s">
        <v>51</v>
      </c>
      <c r="AL111" s="4" t="str">
        <f>HYPERLINK("https://ssb.ee/juhatuse-liikme-cv?id=283020","link")</f>
        <v>link</v>
      </c>
    </row>
    <row r="112" spans="1:38" x14ac:dyDescent="0.25">
      <c r="A112">
        <v>10683307</v>
      </c>
      <c r="B112" t="s">
        <v>875</v>
      </c>
      <c r="C112" s="3">
        <v>36739</v>
      </c>
      <c r="D112" t="s">
        <v>39</v>
      </c>
      <c r="E112" t="s">
        <v>876</v>
      </c>
      <c r="F112" s="4" t="str">
        <f>HYPERLINK("https://ssb.ee/10683307-ID/otsustajad-kasusaajad","link")</f>
        <v>link</v>
      </c>
      <c r="G112" t="s">
        <v>877</v>
      </c>
      <c r="H112" t="s">
        <v>878</v>
      </c>
      <c r="I112" s="4" t="str">
        <f>HYPERLINK("https://www.agr.ee/","link")</f>
        <v>link</v>
      </c>
      <c r="J112" t="s">
        <v>43</v>
      </c>
      <c r="K112" t="s">
        <v>508</v>
      </c>
      <c r="L112" t="s">
        <v>321</v>
      </c>
      <c r="M112" s="4" t="str">
        <f>HYPERLINK("https://ssb.ee/10683307-ID/meedia-arvamuslood","link")</f>
        <v>link</v>
      </c>
      <c r="N112" t="s">
        <v>879</v>
      </c>
      <c r="O112" s="5">
        <v>36770</v>
      </c>
      <c r="P112" t="s">
        <v>47</v>
      </c>
      <c r="Q112" s="6">
        <v>100000</v>
      </c>
      <c r="R112">
        <v>2021</v>
      </c>
      <c r="S112" s="7" t="s">
        <v>47</v>
      </c>
      <c r="T112" s="7" t="s">
        <v>47</v>
      </c>
      <c r="U112" s="7" t="s">
        <v>47</v>
      </c>
      <c r="V112">
        <v>0.01</v>
      </c>
      <c r="W112" s="8" t="s">
        <v>48</v>
      </c>
      <c r="X112" t="s">
        <v>49</v>
      </c>
      <c r="Y112" s="4" t="str">
        <f>HYPERLINK("https://ssb.ee/10683307-ID/kohustused-volad-kohtulahendid","link")</f>
        <v>link</v>
      </c>
      <c r="Z112">
        <v>5320</v>
      </c>
      <c r="AA112" s="4" t="str">
        <f>HYPERLINK("https://ssb.ee/10683307-ID/finantsid-varad-prognoosid","link")</f>
        <v>link</v>
      </c>
      <c r="AB112" s="6">
        <v>289607</v>
      </c>
      <c r="AC112" s="6">
        <v>47740</v>
      </c>
      <c r="AD112" s="6">
        <v>2372005</v>
      </c>
      <c r="AE112">
        <v>14</v>
      </c>
      <c r="AF112" s="6">
        <v>5399822</v>
      </c>
      <c r="AG112" s="6">
        <v>2070</v>
      </c>
      <c r="AH112" s="4" t="str">
        <f>HYPERLINK("https://ssb.ee/10683307-ID/tootajad-palgad","link")</f>
        <v>link</v>
      </c>
      <c r="AI112" t="s">
        <v>880</v>
      </c>
      <c r="AJ112">
        <v>0.01</v>
      </c>
      <c r="AK112" s="8" t="s">
        <v>48</v>
      </c>
      <c r="AL112" s="4" t="str">
        <f>HYPERLINK("https://ssb.ee/juhatuse-liikme-cv?id=290820","link")</f>
        <v>link</v>
      </c>
    </row>
    <row r="113" spans="1:38" x14ac:dyDescent="0.25">
      <c r="A113">
        <v>12307666</v>
      </c>
      <c r="B113" t="s">
        <v>881</v>
      </c>
      <c r="C113" s="3">
        <v>41088</v>
      </c>
      <c r="D113" t="s">
        <v>39</v>
      </c>
      <c r="E113" t="s">
        <v>882</v>
      </c>
      <c r="F113" s="4" t="str">
        <f>HYPERLINK("https://ssb.ee/12307666-ID/otsustajad-kasusaajad","link")</f>
        <v>link</v>
      </c>
      <c r="G113" t="s">
        <v>883</v>
      </c>
      <c r="H113" t="s">
        <v>884</v>
      </c>
      <c r="I113" s="4" t="str">
        <f>HYPERLINK("http://multimek.fi ","link")</f>
        <v>link</v>
      </c>
      <c r="J113" t="s">
        <v>196</v>
      </c>
      <c r="K113" t="s">
        <v>885</v>
      </c>
      <c r="L113" t="s">
        <v>886</v>
      </c>
      <c r="M113" s="4" t="str">
        <f>HYPERLINK("https://ssb.ee/12307666-ID/meedia-arvamuslood","link")</f>
        <v>link</v>
      </c>
      <c r="N113" t="s">
        <v>887</v>
      </c>
      <c r="O113" s="5">
        <v>41099</v>
      </c>
      <c r="P113" t="s">
        <v>47</v>
      </c>
      <c r="Q113" s="6">
        <v>100000</v>
      </c>
      <c r="R113">
        <v>2021</v>
      </c>
      <c r="S113" s="7" t="s">
        <v>47</v>
      </c>
      <c r="T113" s="7" t="s">
        <v>47</v>
      </c>
      <c r="U113" s="7" t="s">
        <v>47</v>
      </c>
      <c r="V113">
        <v>0.01</v>
      </c>
      <c r="W113" s="8" t="s">
        <v>48</v>
      </c>
      <c r="X113" t="s">
        <v>49</v>
      </c>
      <c r="Y113" s="4" t="str">
        <f>HYPERLINK("https://ssb.ee/12307666-ID/kohustused-volad-kohtulahendid","link")</f>
        <v>link</v>
      </c>
      <c r="Z113">
        <v>15730</v>
      </c>
      <c r="AA113" s="4" t="str">
        <f>HYPERLINK("https://ssb.ee/12307666-ID/finantsid-varad-prognoosid","link")</f>
        <v>link</v>
      </c>
      <c r="AB113" s="6">
        <v>453020</v>
      </c>
      <c r="AC113" s="6">
        <v>241385</v>
      </c>
      <c r="AD113" s="6">
        <v>9121129</v>
      </c>
      <c r="AE113">
        <v>82</v>
      </c>
      <c r="AF113" s="6">
        <v>23747497</v>
      </c>
      <c r="AG113" s="6">
        <v>1845</v>
      </c>
      <c r="AH113" s="4" t="str">
        <f>HYPERLINK("https://ssb.ee/12307666-ID/tootajad-palgad","link")</f>
        <v>link</v>
      </c>
      <c r="AI113" t="s">
        <v>888</v>
      </c>
      <c r="AJ113">
        <v>0.01</v>
      </c>
      <c r="AK113" s="8" t="s">
        <v>48</v>
      </c>
      <c r="AL113" s="4" t="str">
        <f>HYPERLINK("https://ssb.ee/juhatuse-liikme-cv?id=383322","link")</f>
        <v>link</v>
      </c>
    </row>
    <row r="114" spans="1:38" x14ac:dyDescent="0.25">
      <c r="A114">
        <v>12755442</v>
      </c>
      <c r="B114" t="s">
        <v>891</v>
      </c>
      <c r="C114" s="3">
        <v>41962</v>
      </c>
      <c r="D114" t="s">
        <v>39</v>
      </c>
      <c r="E114" t="s">
        <v>892</v>
      </c>
      <c r="F114" s="4" t="str">
        <f>HYPERLINK("https://ssb.ee/12755442-ID/otsustajad-kasusaajad","link")</f>
        <v>link</v>
      </c>
      <c r="G114" t="s">
        <v>893</v>
      </c>
      <c r="H114" t="s">
        <v>47</v>
      </c>
      <c r="I114" s="4" t="str">
        <f>HYPERLINK("https://www.malwarebytes.com/","link")</f>
        <v>link</v>
      </c>
      <c r="J114" t="s">
        <v>112</v>
      </c>
      <c r="K114" t="s">
        <v>113</v>
      </c>
      <c r="L114" t="s">
        <v>114</v>
      </c>
      <c r="M114" s="4" t="str">
        <f>HYPERLINK("https://ssb.ee/12755442-ID/meedia-arvamuslood","link")</f>
        <v>link</v>
      </c>
      <c r="N114" t="s">
        <v>894</v>
      </c>
      <c r="O114" s="5">
        <v>42468</v>
      </c>
      <c r="P114" t="s">
        <v>47</v>
      </c>
      <c r="Q114" s="6">
        <v>100000</v>
      </c>
      <c r="R114">
        <v>2021</v>
      </c>
      <c r="S114" s="7" t="s">
        <v>47</v>
      </c>
      <c r="T114" s="7" t="s">
        <v>47</v>
      </c>
      <c r="U114" s="7" t="s">
        <v>47</v>
      </c>
      <c r="V114">
        <v>0.01</v>
      </c>
      <c r="W114" s="8" t="s">
        <v>48</v>
      </c>
      <c r="X114" t="s">
        <v>49</v>
      </c>
      <c r="Y114" s="4" t="str">
        <f>HYPERLINK("https://ssb.ee/12755442-ID/kohustused-volad-kohtulahendid","link")</f>
        <v>link</v>
      </c>
      <c r="Z114">
        <v>8920</v>
      </c>
      <c r="AA114" s="4" t="str">
        <f>HYPERLINK("https://ssb.ee/12755442-ID/finantsid-varad-prognoosid","link")</f>
        <v>link</v>
      </c>
      <c r="AB114" s="6">
        <v>881463</v>
      </c>
      <c r="AC114" s="6">
        <v>931639</v>
      </c>
      <c r="AD114" s="6">
        <v>2933408</v>
      </c>
      <c r="AE114">
        <v>125</v>
      </c>
      <c r="AF114" s="6">
        <v>11264354</v>
      </c>
      <c r="AG114" s="6">
        <v>4400</v>
      </c>
      <c r="AH114" s="4" t="str">
        <f>HYPERLINK("https://ssb.ee/12755442-ID/tootajad-palgad","link")</f>
        <v>link</v>
      </c>
      <c r="AI114" t="s">
        <v>895</v>
      </c>
      <c r="AJ114">
        <v>0.01</v>
      </c>
      <c r="AK114" s="8" t="s">
        <v>48</v>
      </c>
      <c r="AL114" s="4" t="str">
        <f>HYPERLINK("https://ssb.ee/juhatuse-liikme-cv?id=1378081","link")</f>
        <v>link</v>
      </c>
    </row>
    <row r="115" spans="1:38" x14ac:dyDescent="0.25">
      <c r="A115">
        <v>10255416</v>
      </c>
      <c r="B115" t="s">
        <v>896</v>
      </c>
      <c r="C115" s="3">
        <v>35662</v>
      </c>
      <c r="D115" t="s">
        <v>39</v>
      </c>
      <c r="E115" t="s">
        <v>897</v>
      </c>
      <c r="F115" s="4" t="str">
        <f>HYPERLINK("https://ssb.ee/10255416-ID/otsustajad-kasusaajad","link")</f>
        <v>link</v>
      </c>
      <c r="G115" t="s">
        <v>898</v>
      </c>
      <c r="H115" t="s">
        <v>899</v>
      </c>
      <c r="I115" s="4" t="str">
        <f>HYPERLINK("https://tartunaitused.ee/ ","link")</f>
        <v>link</v>
      </c>
      <c r="J115" t="s">
        <v>56</v>
      </c>
      <c r="K115" t="s">
        <v>900</v>
      </c>
      <c r="L115" t="s">
        <v>901</v>
      </c>
      <c r="M115" s="4" t="str">
        <f>HYPERLINK("https://ssb.ee/10255416-ID/meedia-arvamuslood","link")</f>
        <v>link</v>
      </c>
      <c r="N115" t="s">
        <v>902</v>
      </c>
      <c r="O115" s="5">
        <v>34335</v>
      </c>
      <c r="P115" t="s">
        <v>47</v>
      </c>
      <c r="Q115" s="6">
        <v>45600</v>
      </c>
      <c r="R115">
        <v>2021</v>
      </c>
      <c r="S115" s="7" t="s">
        <v>47</v>
      </c>
      <c r="T115" s="7" t="s">
        <v>47</v>
      </c>
      <c r="U115" s="7" t="s">
        <v>47</v>
      </c>
      <c r="V115">
        <v>0.01</v>
      </c>
      <c r="W115" s="8" t="s">
        <v>48</v>
      </c>
      <c r="X115" t="s">
        <v>49</v>
      </c>
      <c r="Y115" s="4" t="str">
        <f>HYPERLINK("https://ssb.ee/10255416-ID/kohustused-volad-kohtulahendid","link")</f>
        <v>link</v>
      </c>
      <c r="Z115">
        <v>3290</v>
      </c>
      <c r="AA115" s="4" t="str">
        <f>HYPERLINK("https://ssb.ee/10255416-ID/finantsid-varad-prognoosid","link")</f>
        <v>link</v>
      </c>
      <c r="AB115" s="6">
        <v>104662</v>
      </c>
      <c r="AC115" s="6">
        <v>61054</v>
      </c>
      <c r="AD115" s="6">
        <v>518224</v>
      </c>
      <c r="AE115">
        <v>10</v>
      </c>
      <c r="AF115" s="6">
        <v>774174</v>
      </c>
      <c r="AG115" s="6">
        <v>3630</v>
      </c>
      <c r="AH115" s="4" t="str">
        <f>HYPERLINK("https://ssb.ee/10255416-ID/tootajad-palgad","link")</f>
        <v>link</v>
      </c>
      <c r="AI115" t="s">
        <v>903</v>
      </c>
      <c r="AJ115">
        <v>0.01</v>
      </c>
      <c r="AK115" s="8" t="s">
        <v>48</v>
      </c>
      <c r="AL115" s="4" t="str">
        <f>HYPERLINK("https://ssb.ee/juhatuse-liikme-cv?id=275576","link")</f>
        <v>link</v>
      </c>
    </row>
    <row r="116" spans="1:38" x14ac:dyDescent="0.25">
      <c r="A116">
        <v>12365907</v>
      </c>
      <c r="B116" t="s">
        <v>904</v>
      </c>
      <c r="C116" s="3">
        <v>41204</v>
      </c>
      <c r="D116" t="s">
        <v>39</v>
      </c>
      <c r="E116" t="s">
        <v>905</v>
      </c>
      <c r="F116" s="4" t="str">
        <f>HYPERLINK("https://ssb.ee/12365907-ID/otsustajad-kasusaajad","link")</f>
        <v>link</v>
      </c>
      <c r="G116" t="s">
        <v>906</v>
      </c>
      <c r="H116" t="s">
        <v>907</v>
      </c>
      <c r="I116" s="4" t="str">
        <f>HYPERLINK("http://nordlum.eu","link")</f>
        <v>link</v>
      </c>
      <c r="J116" t="s">
        <v>196</v>
      </c>
      <c r="K116" t="s">
        <v>908</v>
      </c>
      <c r="L116" t="s">
        <v>909</v>
      </c>
      <c r="M116" s="4" t="str">
        <f>HYPERLINK("https://ssb.ee/12365907-ID/meedia-arvamuslood","link")</f>
        <v>link</v>
      </c>
      <c r="N116" t="s">
        <v>910</v>
      </c>
      <c r="O116" s="5">
        <v>41214</v>
      </c>
      <c r="P116" t="s">
        <v>47</v>
      </c>
      <c r="Q116" s="6">
        <v>82000</v>
      </c>
      <c r="R116">
        <v>2021</v>
      </c>
      <c r="S116" s="7" t="s">
        <v>47</v>
      </c>
      <c r="T116" s="7" t="s">
        <v>47</v>
      </c>
      <c r="U116" s="7" t="s">
        <v>47</v>
      </c>
      <c r="V116">
        <v>0.01</v>
      </c>
      <c r="W116" s="8" t="s">
        <v>48</v>
      </c>
      <c r="X116" t="s">
        <v>49</v>
      </c>
      <c r="Y116" s="4" t="str">
        <f>HYPERLINK("https://ssb.ee/12365907-ID/kohustused-volad-kohtulahendid","link")</f>
        <v>link</v>
      </c>
      <c r="Z116">
        <v>3180</v>
      </c>
      <c r="AA116" s="4" t="str">
        <f>HYPERLINK("https://ssb.ee/12365907-ID/finantsid-varad-prognoosid","link")</f>
        <v>link</v>
      </c>
      <c r="AB116" s="6">
        <v>80406</v>
      </c>
      <c r="AC116" s="6">
        <v>50293</v>
      </c>
      <c r="AD116" s="6">
        <v>1098795</v>
      </c>
      <c r="AE116">
        <v>27</v>
      </c>
      <c r="AF116" s="6">
        <v>3733147</v>
      </c>
      <c r="AG116" s="6">
        <v>1315</v>
      </c>
      <c r="AH116" s="4" t="str">
        <f>HYPERLINK("https://ssb.ee/12365907-ID/tootajad-palgad","link")</f>
        <v>link</v>
      </c>
      <c r="AI116" t="s">
        <v>911</v>
      </c>
      <c r="AJ116">
        <v>1.4999999999999999E-2</v>
      </c>
      <c r="AK116" s="8" t="s">
        <v>48</v>
      </c>
      <c r="AL116" s="4" t="str">
        <f>HYPERLINK("https://ssb.ee/juhatuse-liikme-cv?id=295788","link")</f>
        <v>link</v>
      </c>
    </row>
    <row r="117" spans="1:38" x14ac:dyDescent="0.25">
      <c r="A117">
        <v>75016533</v>
      </c>
      <c r="B117" t="s">
        <v>912</v>
      </c>
      <c r="C117" s="3">
        <v>33967</v>
      </c>
      <c r="D117" t="s">
        <v>39</v>
      </c>
      <c r="E117" t="s">
        <v>913</v>
      </c>
      <c r="F117" s="4" t="str">
        <f>HYPERLINK("https://ssb.ee/75016533-ID/otsustajad-kasusaajad","link")</f>
        <v>link</v>
      </c>
      <c r="G117" t="s">
        <v>914</v>
      </c>
      <c r="H117" t="s">
        <v>915</v>
      </c>
      <c r="I117" s="4" t="str">
        <f>HYPERLINK("https://kristiine.edu.ee/","link")</f>
        <v>link</v>
      </c>
      <c r="J117" t="s">
        <v>65</v>
      </c>
      <c r="K117" t="s">
        <v>582</v>
      </c>
      <c r="L117" t="s">
        <v>583</v>
      </c>
      <c r="M117" s="4" t="str">
        <f>HYPERLINK("https://ssb.ee/75016533-ID/meedia-arvamuslood","link")</f>
        <v>link</v>
      </c>
      <c r="N117" t="s">
        <v>47</v>
      </c>
      <c r="O117" t="s">
        <v>47</v>
      </c>
      <c r="P117" t="s">
        <v>47</v>
      </c>
      <c r="Q117" s="6">
        <v>25400</v>
      </c>
      <c r="R117" t="s">
        <v>47</v>
      </c>
      <c r="S117" s="7" t="s">
        <v>47</v>
      </c>
      <c r="T117" s="7" t="s">
        <v>47</v>
      </c>
      <c r="U117" s="7" t="s">
        <v>47</v>
      </c>
      <c r="V117">
        <v>0.01</v>
      </c>
      <c r="W117" s="8" t="s">
        <v>48</v>
      </c>
      <c r="X117" t="s">
        <v>49</v>
      </c>
      <c r="Y117" s="4" t="str">
        <f>HYPERLINK("https://ssb.ee/75016533-ID/kohustused-volad-kohtulahendid","link")</f>
        <v>link</v>
      </c>
      <c r="Z117">
        <v>3300</v>
      </c>
      <c r="AA117" s="4" t="str">
        <f>HYPERLINK("https://ssb.ee/75016533-ID/finantsid-varad-prognoosid","link")</f>
        <v>link</v>
      </c>
      <c r="AB117" s="6">
        <v>184547</v>
      </c>
      <c r="AC117" s="6">
        <v>197188</v>
      </c>
      <c r="AD117" s="6" t="s">
        <v>47</v>
      </c>
      <c r="AE117">
        <v>56</v>
      </c>
      <c r="AF117" s="6" t="s">
        <v>47</v>
      </c>
      <c r="AG117" s="6">
        <v>2140</v>
      </c>
      <c r="AH117" s="4" t="str">
        <f>HYPERLINK("https://ssb.ee/75016533-ID/tootajad-palgad","link")</f>
        <v>link</v>
      </c>
      <c r="AI117" t="s">
        <v>47</v>
      </c>
      <c r="AJ117" t="s">
        <v>47</v>
      </c>
      <c r="AK117" t="s">
        <v>47</v>
      </c>
      <c r="AL117" s="4" t="str">
        <f>HYPERLINK("","link")</f>
        <v>link</v>
      </c>
    </row>
    <row r="118" spans="1:38" x14ac:dyDescent="0.25">
      <c r="A118">
        <v>11355278</v>
      </c>
      <c r="B118" t="s">
        <v>916</v>
      </c>
      <c r="C118" s="3">
        <v>39133</v>
      </c>
      <c r="D118" t="s">
        <v>39</v>
      </c>
      <c r="E118" t="s">
        <v>917</v>
      </c>
      <c r="F118" s="4" t="str">
        <f>HYPERLINK("https://ssb.ee/11355278-ID/otsustajad-kasusaajad","link")</f>
        <v>link</v>
      </c>
      <c r="G118" t="s">
        <v>918</v>
      </c>
      <c r="H118" t="s">
        <v>919</v>
      </c>
      <c r="I118" s="4" t="str">
        <f>HYPERLINK("http://optimustuning.ee","link")</f>
        <v>link</v>
      </c>
      <c r="J118" t="s">
        <v>43</v>
      </c>
      <c r="K118" t="s">
        <v>508</v>
      </c>
      <c r="L118" t="s">
        <v>321</v>
      </c>
      <c r="M118" s="4" t="str">
        <f>HYPERLINK("https://ssb.ee/11355278-ID/meedia-arvamuslood","link")</f>
        <v>link</v>
      </c>
      <c r="N118" t="s">
        <v>920</v>
      </c>
      <c r="O118" s="5">
        <v>39569</v>
      </c>
      <c r="P118" t="s">
        <v>47</v>
      </c>
      <c r="Q118" s="6">
        <v>700</v>
      </c>
      <c r="R118">
        <v>2021</v>
      </c>
      <c r="S118" s="7" t="s">
        <v>47</v>
      </c>
      <c r="T118" s="7" t="s">
        <v>47</v>
      </c>
      <c r="U118" s="7" t="s">
        <v>47</v>
      </c>
      <c r="V118">
        <v>0.83599999999999997</v>
      </c>
      <c r="W118" s="10" t="s">
        <v>103</v>
      </c>
      <c r="X118" t="s">
        <v>592</v>
      </c>
      <c r="Y118" s="4" t="str">
        <f>HYPERLINK("https://ssb.ee/11355278-ID/kohustused-volad-kohtulahendid","link")</f>
        <v>link</v>
      </c>
      <c r="Z118">
        <v>2170</v>
      </c>
      <c r="AA118" s="4" t="str">
        <f>HYPERLINK("https://ssb.ee/11355278-ID/finantsid-varad-prognoosid","link")</f>
        <v>link</v>
      </c>
      <c r="AB118" s="6">
        <v>4506</v>
      </c>
      <c r="AC118" s="6">
        <v>2108</v>
      </c>
      <c r="AD118" s="6">
        <v>44520</v>
      </c>
      <c r="AE118">
        <v>2</v>
      </c>
      <c r="AF118" s="6">
        <v>152283</v>
      </c>
      <c r="AG118" s="6">
        <v>840</v>
      </c>
      <c r="AH118" s="4" t="str">
        <f>HYPERLINK("https://ssb.ee/11355278-ID/tootajad-palgad","link")</f>
        <v>link</v>
      </c>
      <c r="AI118" t="s">
        <v>921</v>
      </c>
      <c r="AJ118">
        <v>0.22800000000000001</v>
      </c>
      <c r="AK118" s="9" t="s">
        <v>51</v>
      </c>
      <c r="AL118" s="4" t="str">
        <f>HYPERLINK("https://ssb.ee/juhatuse-liikme-cv?id=328043","link")</f>
        <v>link</v>
      </c>
    </row>
    <row r="119" spans="1:38" x14ac:dyDescent="0.25">
      <c r="A119">
        <v>10150433</v>
      </c>
      <c r="B119" t="s">
        <v>922</v>
      </c>
      <c r="C119" s="3">
        <v>35217</v>
      </c>
      <c r="D119" t="s">
        <v>39</v>
      </c>
      <c r="E119" t="s">
        <v>923</v>
      </c>
      <c r="F119" s="4" t="str">
        <f>HYPERLINK("https://ssb.ee/10150433-ID/otsustajad-kasusaajad","link")</f>
        <v>link</v>
      </c>
      <c r="G119" t="s">
        <v>924</v>
      </c>
      <c r="H119" t="s">
        <v>925</v>
      </c>
      <c r="I119" s="4" t="str">
        <f>HYPERLINK("http://janvemar.ee","link")</f>
        <v>link</v>
      </c>
      <c r="J119" t="s">
        <v>61</v>
      </c>
      <c r="K119" t="s">
        <v>99</v>
      </c>
      <c r="L119" t="s">
        <v>100</v>
      </c>
      <c r="M119" s="4" t="str">
        <f>HYPERLINK("https://ssb.ee/10150433-ID/meedia-arvamuslood","link")</f>
        <v>link</v>
      </c>
      <c r="N119" t="s">
        <v>926</v>
      </c>
      <c r="O119" s="5">
        <v>35217</v>
      </c>
      <c r="P119" t="s">
        <v>47</v>
      </c>
      <c r="Q119" s="6">
        <v>18100</v>
      </c>
      <c r="R119">
        <v>2021</v>
      </c>
      <c r="S119" s="7" t="s">
        <v>47</v>
      </c>
      <c r="T119" s="7" t="s">
        <v>47</v>
      </c>
      <c r="U119" s="7" t="s">
        <v>47</v>
      </c>
      <c r="V119">
        <v>0.01</v>
      </c>
      <c r="W119" s="8" t="s">
        <v>48</v>
      </c>
      <c r="X119" t="s">
        <v>49</v>
      </c>
      <c r="Y119" s="4" t="str">
        <f>HYPERLINK("https://ssb.ee/10150433-ID/kohustused-volad-kohtulahendid","link")</f>
        <v>link</v>
      </c>
      <c r="Z119">
        <v>3030</v>
      </c>
      <c r="AA119" s="4" t="str">
        <f>HYPERLINK("https://ssb.ee/10150433-ID/finantsid-varad-prognoosid","link")</f>
        <v>link</v>
      </c>
      <c r="AB119" s="6">
        <v>20260</v>
      </c>
      <c r="AC119" s="6">
        <v>18431</v>
      </c>
      <c r="AD119" s="6">
        <v>232666</v>
      </c>
      <c r="AE119">
        <v>7</v>
      </c>
      <c r="AF119" s="6">
        <v>770725</v>
      </c>
      <c r="AG119" s="6">
        <v>1690</v>
      </c>
      <c r="AH119" s="4" t="str">
        <f>HYPERLINK("https://ssb.ee/10150433-ID/tootajad-palgad","link")</f>
        <v>link</v>
      </c>
      <c r="AI119" t="s">
        <v>927</v>
      </c>
      <c r="AJ119">
        <v>0.41199999999999998</v>
      </c>
      <c r="AK119" s="11" t="s">
        <v>150</v>
      </c>
      <c r="AL119" s="4" t="str">
        <f>HYPERLINK("https://ssb.ee/juhatuse-liikme-cv?id=271192","link")</f>
        <v>link</v>
      </c>
    </row>
    <row r="120" spans="1:38" x14ac:dyDescent="0.25">
      <c r="A120">
        <v>10668940</v>
      </c>
      <c r="B120" t="s">
        <v>928</v>
      </c>
      <c r="C120" s="3">
        <v>36641</v>
      </c>
      <c r="D120" t="s">
        <v>39</v>
      </c>
      <c r="E120" t="s">
        <v>929</v>
      </c>
      <c r="F120" s="4" t="str">
        <f>HYPERLINK("https://ssb.ee/10668940-ID/otsustajad-kasusaajad","link")</f>
        <v>link</v>
      </c>
      <c r="G120" t="s">
        <v>930</v>
      </c>
      <c r="H120" t="s">
        <v>931</v>
      </c>
      <c r="I120" s="4" t="str">
        <f>HYPERLINK("https://electrobit.ee/","link")</f>
        <v>link</v>
      </c>
      <c r="J120" t="s">
        <v>43</v>
      </c>
      <c r="K120" t="s">
        <v>932</v>
      </c>
      <c r="L120" t="s">
        <v>933</v>
      </c>
      <c r="M120" s="4" t="str">
        <f>HYPERLINK("https://ssb.ee/10668940-ID/meedia-arvamuslood","link")</f>
        <v>link</v>
      </c>
      <c r="N120" t="s">
        <v>934</v>
      </c>
      <c r="O120" s="5">
        <v>38988</v>
      </c>
      <c r="P120" t="s">
        <v>47</v>
      </c>
      <c r="Q120" s="6">
        <v>33000</v>
      </c>
      <c r="R120">
        <v>2021</v>
      </c>
      <c r="S120" s="7" t="s">
        <v>47</v>
      </c>
      <c r="T120" s="7" t="s">
        <v>47</v>
      </c>
      <c r="U120" s="7" t="s">
        <v>47</v>
      </c>
      <c r="V120">
        <v>0.01</v>
      </c>
      <c r="W120" s="8" t="s">
        <v>48</v>
      </c>
      <c r="X120" t="s">
        <v>49</v>
      </c>
      <c r="Y120" s="4" t="str">
        <f>HYPERLINK("https://ssb.ee/10668940-ID/kohustused-volad-kohtulahendid","link")</f>
        <v>link</v>
      </c>
      <c r="Z120">
        <v>2160</v>
      </c>
      <c r="AA120" s="4" t="str">
        <f>HYPERLINK("https://ssb.ee/10668940-ID/finantsid-varad-prognoosid","link")</f>
        <v>link</v>
      </c>
      <c r="AB120" s="6">
        <v>63950</v>
      </c>
      <c r="AC120" s="6">
        <v>17743</v>
      </c>
      <c r="AD120" s="6">
        <v>413785</v>
      </c>
      <c r="AE120">
        <v>4</v>
      </c>
      <c r="AF120" s="6">
        <v>1191905</v>
      </c>
      <c r="AG120" s="6">
        <v>2660</v>
      </c>
      <c r="AH120" s="4" t="str">
        <f>HYPERLINK("https://ssb.ee/10668940-ID/tootajad-palgad","link")</f>
        <v>link</v>
      </c>
      <c r="AI120" t="s">
        <v>935</v>
      </c>
      <c r="AJ120">
        <v>8.0000000000000002E-3</v>
      </c>
      <c r="AK120" s="8" t="s">
        <v>48</v>
      </c>
      <c r="AL120" s="4" t="str">
        <f>HYPERLINK("https://ssb.ee/juhatuse-liikme-cv?id=356037","link")</f>
        <v>link</v>
      </c>
    </row>
    <row r="121" spans="1:38" x14ac:dyDescent="0.25">
      <c r="A121">
        <v>10036989</v>
      </c>
      <c r="B121" t="s">
        <v>936</v>
      </c>
      <c r="C121" s="3">
        <v>34335</v>
      </c>
      <c r="D121" t="s">
        <v>39</v>
      </c>
      <c r="E121" t="s">
        <v>937</v>
      </c>
      <c r="F121" s="4" t="str">
        <f>HYPERLINK("https://ssb.ee/10036989-ID/otsustajad-kasusaajad","link")</f>
        <v>link</v>
      </c>
      <c r="G121" t="s">
        <v>938</v>
      </c>
      <c r="H121" t="s">
        <v>939</v>
      </c>
      <c r="I121" s="4" t="str">
        <f>HYPERLINK("https://www.kodumasinad.ee/","link")</f>
        <v>link</v>
      </c>
      <c r="J121" t="s">
        <v>43</v>
      </c>
      <c r="K121" t="s">
        <v>328</v>
      </c>
      <c r="L121" t="s">
        <v>290</v>
      </c>
      <c r="M121" s="4" t="str">
        <f>HYPERLINK("https://ssb.ee/10036989-ID/meedia-arvamuslood","link")</f>
        <v>link</v>
      </c>
      <c r="N121" t="s">
        <v>940</v>
      </c>
      <c r="O121" s="5">
        <v>34335</v>
      </c>
      <c r="P121" t="s">
        <v>47</v>
      </c>
      <c r="Q121" s="6">
        <v>100000</v>
      </c>
      <c r="R121">
        <v>2021</v>
      </c>
      <c r="S121" s="7" t="s">
        <v>47</v>
      </c>
      <c r="T121" s="7" t="s">
        <v>47</v>
      </c>
      <c r="U121" s="7" t="s">
        <v>47</v>
      </c>
      <c r="V121">
        <v>0.01</v>
      </c>
      <c r="W121" s="8" t="s">
        <v>48</v>
      </c>
      <c r="X121" t="s">
        <v>49</v>
      </c>
      <c r="Y121" s="4" t="str">
        <f>HYPERLINK("https://ssb.ee/10036989-ID/kohustused-volad-kohtulahendid","link")</f>
        <v>link</v>
      </c>
      <c r="Z121">
        <v>6850</v>
      </c>
      <c r="AA121" s="4" t="str">
        <f>HYPERLINK("https://ssb.ee/10036989-ID/finantsid-varad-prognoosid","link")</f>
        <v>link</v>
      </c>
      <c r="AB121" s="6">
        <v>361155</v>
      </c>
      <c r="AC121" s="6">
        <v>59315</v>
      </c>
      <c r="AD121" s="6">
        <v>3505152</v>
      </c>
      <c r="AE121">
        <v>30</v>
      </c>
      <c r="AF121" s="6">
        <v>9368942</v>
      </c>
      <c r="AG121" s="6">
        <v>1390</v>
      </c>
      <c r="AH121" s="4" t="str">
        <f>HYPERLINK("https://ssb.ee/10036989-ID/tootajad-palgad","link")</f>
        <v>link</v>
      </c>
      <c r="AI121" t="s">
        <v>941</v>
      </c>
      <c r="AJ121">
        <v>0.01</v>
      </c>
      <c r="AK121" s="8" t="s">
        <v>48</v>
      </c>
      <c r="AL121" s="4" t="str">
        <f>HYPERLINK("https://ssb.ee/juhatuse-liikme-cv?id=265710","link")</f>
        <v>link</v>
      </c>
    </row>
    <row r="122" spans="1:38" x14ac:dyDescent="0.25">
      <c r="A122">
        <v>10147224</v>
      </c>
      <c r="B122" t="s">
        <v>942</v>
      </c>
      <c r="C122" s="3">
        <v>35573</v>
      </c>
      <c r="D122" t="s">
        <v>39</v>
      </c>
      <c r="E122" t="s">
        <v>943</v>
      </c>
      <c r="F122" s="4" t="str">
        <f>HYPERLINK("https://ssb.ee/10147224-ID/otsustajad-kasusaajad","link")</f>
        <v>link</v>
      </c>
      <c r="G122" t="s">
        <v>944</v>
      </c>
      <c r="H122" t="s">
        <v>945</v>
      </c>
      <c r="I122" s="4" t="str">
        <f>HYPERLINK("http://jyritk.ee","link")</f>
        <v>link</v>
      </c>
      <c r="J122" t="s">
        <v>143</v>
      </c>
      <c r="K122" t="s">
        <v>148</v>
      </c>
      <c r="L122" t="s">
        <v>149</v>
      </c>
      <c r="M122" s="4" t="str">
        <f>HYPERLINK("https://ssb.ee/10147224-ID/meedia-arvamuslood","link")</f>
        <v>link</v>
      </c>
      <c r="N122" t="s">
        <v>946</v>
      </c>
      <c r="O122" s="5">
        <v>44510</v>
      </c>
      <c r="P122" t="s">
        <v>47</v>
      </c>
      <c r="Q122" s="6">
        <v>12100</v>
      </c>
      <c r="R122">
        <v>2021</v>
      </c>
      <c r="S122" s="7" t="s">
        <v>47</v>
      </c>
      <c r="T122" s="7" t="s">
        <v>47</v>
      </c>
      <c r="U122" s="7" t="s">
        <v>47</v>
      </c>
      <c r="V122">
        <v>0.01</v>
      </c>
      <c r="W122" s="8" t="s">
        <v>48</v>
      </c>
      <c r="X122" t="s">
        <v>49</v>
      </c>
      <c r="Y122" s="4" t="str">
        <f>HYPERLINK("https://ssb.ee/10147224-ID/kohustused-volad-kohtulahendid","link")</f>
        <v>link</v>
      </c>
      <c r="Z122">
        <v>2640</v>
      </c>
      <c r="AA122" s="4" t="str">
        <f>HYPERLINK("https://ssb.ee/10147224-ID/finantsid-varad-prognoosid","link")</f>
        <v>link</v>
      </c>
      <c r="AB122" s="6">
        <v>82515</v>
      </c>
      <c r="AC122" s="6">
        <v>88055</v>
      </c>
      <c r="AD122" s="6">
        <v>10806</v>
      </c>
      <c r="AE122">
        <v>24</v>
      </c>
      <c r="AF122" s="6">
        <v>1312903</v>
      </c>
      <c r="AG122" s="6">
        <v>2205</v>
      </c>
      <c r="AH122" s="4" t="str">
        <f>HYPERLINK("https://ssb.ee/10147224-ID/tootajad-palgad","link")</f>
        <v>link</v>
      </c>
      <c r="AI122" t="s">
        <v>947</v>
      </c>
      <c r="AJ122">
        <v>8.5999999999999993E-2</v>
      </c>
      <c r="AK122" s="8" t="s">
        <v>48</v>
      </c>
      <c r="AL122" s="4" t="str">
        <f>HYPERLINK("https://ssb.ee/juhatuse-liikme-cv?id=271068","link")</f>
        <v>link</v>
      </c>
    </row>
    <row r="123" spans="1:38" x14ac:dyDescent="0.25">
      <c r="A123">
        <v>10186572</v>
      </c>
      <c r="B123" t="s">
        <v>948</v>
      </c>
      <c r="C123" s="3">
        <v>34335</v>
      </c>
      <c r="D123" t="s">
        <v>39</v>
      </c>
      <c r="E123" t="s">
        <v>949</v>
      </c>
      <c r="F123" s="4" t="str">
        <f>HYPERLINK("https://ssb.ee/10186572-ID/otsustajad-kasusaajad","link")</f>
        <v>link</v>
      </c>
      <c r="G123" t="s">
        <v>950</v>
      </c>
      <c r="H123" t="s">
        <v>951</v>
      </c>
      <c r="I123" s="4" t="str">
        <f>HYPERLINK("http://autojohvi.ee","link")</f>
        <v>link</v>
      </c>
      <c r="J123" t="s">
        <v>952</v>
      </c>
      <c r="K123" t="s">
        <v>953</v>
      </c>
      <c r="L123" t="s">
        <v>954</v>
      </c>
      <c r="M123" s="4" t="str">
        <f>HYPERLINK("https://ssb.ee/10186572-ID/meedia-arvamuslood","link")</f>
        <v>link</v>
      </c>
      <c r="N123" t="s">
        <v>955</v>
      </c>
      <c r="O123" s="5">
        <v>34335</v>
      </c>
      <c r="P123" t="s">
        <v>47</v>
      </c>
      <c r="Q123" s="6">
        <v>15300</v>
      </c>
      <c r="R123">
        <v>2021</v>
      </c>
      <c r="S123" s="7" t="s">
        <v>47</v>
      </c>
      <c r="T123" s="7" t="s">
        <v>47</v>
      </c>
      <c r="U123" s="7" t="s">
        <v>47</v>
      </c>
      <c r="V123">
        <v>0.01</v>
      </c>
      <c r="W123" s="8" t="s">
        <v>48</v>
      </c>
      <c r="X123" t="s">
        <v>49</v>
      </c>
      <c r="Y123" s="4" t="str">
        <f>HYPERLINK("https://ssb.ee/10186572-ID/kohustused-volad-kohtulahendid","link")</f>
        <v>link</v>
      </c>
      <c r="Z123">
        <v>2370</v>
      </c>
      <c r="AA123" s="4" t="str">
        <f>HYPERLINK("https://ssb.ee/10186572-ID/finantsid-varad-prognoosid","link")</f>
        <v>link</v>
      </c>
      <c r="AB123" s="6">
        <v>42649</v>
      </c>
      <c r="AC123" s="6">
        <v>27136</v>
      </c>
      <c r="AD123" s="6">
        <v>159048</v>
      </c>
      <c r="AE123">
        <v>11</v>
      </c>
      <c r="AF123" s="6">
        <v>655842</v>
      </c>
      <c r="AG123" s="6">
        <v>1615</v>
      </c>
      <c r="AH123" s="4" t="str">
        <f>HYPERLINK("https://ssb.ee/10186572-ID/tootajad-palgad","link")</f>
        <v>link</v>
      </c>
      <c r="AI123" t="s">
        <v>956</v>
      </c>
      <c r="AJ123">
        <v>0.01</v>
      </c>
      <c r="AK123" s="8" t="s">
        <v>48</v>
      </c>
      <c r="AL123" s="4" t="str">
        <f>HYPERLINK("https://ssb.ee/juhatuse-liikme-cv?id=272630","link")</f>
        <v>link</v>
      </c>
    </row>
    <row r="124" spans="1:38" x14ac:dyDescent="0.25">
      <c r="A124">
        <v>10694328</v>
      </c>
      <c r="B124" t="s">
        <v>957</v>
      </c>
      <c r="C124" s="3">
        <v>36776</v>
      </c>
      <c r="D124" t="s">
        <v>39</v>
      </c>
      <c r="E124" t="s">
        <v>958</v>
      </c>
      <c r="F124" s="4" t="str">
        <f>HYPERLINK("https://ssb.ee/10694328-ID/otsustajad-kasusaajad","link")</f>
        <v>link</v>
      </c>
      <c r="G124" t="s">
        <v>959</v>
      </c>
      <c r="H124" t="s">
        <v>960</v>
      </c>
      <c r="I124" s="4" t="str">
        <f>HYPERLINK("https://belander.ee/","link")</f>
        <v>link</v>
      </c>
      <c r="J124" t="s">
        <v>196</v>
      </c>
      <c r="K124" t="s">
        <v>961</v>
      </c>
      <c r="L124" t="s">
        <v>962</v>
      </c>
      <c r="M124" s="4" t="str">
        <f>HYPERLINK("https://ssb.ee/10694328-ID/meedia-arvamuslood","link")</f>
        <v>link</v>
      </c>
      <c r="N124" t="s">
        <v>963</v>
      </c>
      <c r="O124" s="5">
        <v>36831</v>
      </c>
      <c r="P124" t="s">
        <v>47</v>
      </c>
      <c r="Q124" s="6">
        <v>72300</v>
      </c>
      <c r="R124">
        <v>2020</v>
      </c>
      <c r="S124" s="7" t="s">
        <v>47</v>
      </c>
      <c r="T124" s="7" t="s">
        <v>47</v>
      </c>
      <c r="U124" s="7" t="s">
        <v>47</v>
      </c>
      <c r="V124">
        <v>0.01</v>
      </c>
      <c r="W124" s="8" t="s">
        <v>48</v>
      </c>
      <c r="X124" t="s">
        <v>49</v>
      </c>
      <c r="Y124" s="4" t="str">
        <f>HYPERLINK("https://ssb.ee/10694328-ID/kohustused-volad-kohtulahendid","link")</f>
        <v>link</v>
      </c>
      <c r="Z124">
        <v>2700</v>
      </c>
      <c r="AA124" s="4" t="str">
        <f>HYPERLINK("https://ssb.ee/10694328-ID/finantsid-varad-prognoosid","link")</f>
        <v>link</v>
      </c>
      <c r="AB124" s="6">
        <v>41426</v>
      </c>
      <c r="AC124" s="6">
        <v>41883</v>
      </c>
      <c r="AD124" s="6">
        <v>1001617</v>
      </c>
      <c r="AE124">
        <v>21</v>
      </c>
      <c r="AF124" s="6">
        <v>3482991</v>
      </c>
      <c r="AG124" s="6">
        <v>1390</v>
      </c>
      <c r="AH124" s="4" t="str">
        <f>HYPERLINK("https://ssb.ee/10694328-ID/tootajad-palgad","link")</f>
        <v>link</v>
      </c>
      <c r="AI124" t="s">
        <v>964</v>
      </c>
      <c r="AJ124">
        <v>1.2E-2</v>
      </c>
      <c r="AK124" s="8" t="s">
        <v>48</v>
      </c>
      <c r="AL124" s="4" t="str">
        <f>HYPERLINK("https://ssb.ee/juhatuse-liikme-cv?id=274971","link")</f>
        <v>link</v>
      </c>
    </row>
    <row r="125" spans="1:38" x14ac:dyDescent="0.25">
      <c r="A125">
        <v>11340839</v>
      </c>
      <c r="B125" t="s">
        <v>965</v>
      </c>
      <c r="C125" s="3">
        <v>39104</v>
      </c>
      <c r="D125" t="s">
        <v>39</v>
      </c>
      <c r="E125" t="s">
        <v>966</v>
      </c>
      <c r="F125" s="4" t="str">
        <f>HYPERLINK("https://ssb.ee/11340839-ID/otsustajad-kasusaajad","link")</f>
        <v>link</v>
      </c>
      <c r="G125" t="s">
        <v>967</v>
      </c>
      <c r="H125" t="s">
        <v>968</v>
      </c>
      <c r="I125" s="4" t="str">
        <f>HYPERLINK("http://bestwine.ee ","link")</f>
        <v>link</v>
      </c>
      <c r="J125" t="s">
        <v>43</v>
      </c>
      <c r="K125" t="s">
        <v>969</v>
      </c>
      <c r="L125" t="s">
        <v>970</v>
      </c>
      <c r="M125" s="4" t="str">
        <f>HYPERLINK("https://ssb.ee/11340839-ID/meedia-arvamuslood","link")</f>
        <v>link</v>
      </c>
      <c r="N125" t="s">
        <v>971</v>
      </c>
      <c r="O125" s="5">
        <v>39122</v>
      </c>
      <c r="P125" t="s">
        <v>47</v>
      </c>
      <c r="Q125" s="6">
        <v>24900</v>
      </c>
      <c r="R125">
        <v>2021</v>
      </c>
      <c r="S125" s="7" t="s">
        <v>47</v>
      </c>
      <c r="T125" s="7" t="s">
        <v>47</v>
      </c>
      <c r="U125" s="7" t="s">
        <v>47</v>
      </c>
      <c r="V125">
        <v>0.316</v>
      </c>
      <c r="W125" s="11" t="s">
        <v>150</v>
      </c>
      <c r="X125" t="s">
        <v>972</v>
      </c>
      <c r="Y125" s="4" t="str">
        <f>HYPERLINK("https://ssb.ee/11340839-ID/kohustused-volad-kohtulahendid","link")</f>
        <v>link</v>
      </c>
      <c r="Z125">
        <v>3550</v>
      </c>
      <c r="AA125" s="4" t="str">
        <f>HYPERLINK("https://ssb.ee/11340839-ID/finantsid-varad-prognoosid","link")</f>
        <v>link</v>
      </c>
      <c r="AB125" s="6">
        <v>131034</v>
      </c>
      <c r="AC125" s="6">
        <v>32217</v>
      </c>
      <c r="AD125" s="6">
        <v>1082160</v>
      </c>
      <c r="AE125">
        <v>7</v>
      </c>
      <c r="AF125" s="6">
        <v>2835661</v>
      </c>
      <c r="AG125" s="6">
        <v>2723</v>
      </c>
      <c r="AH125" s="4" t="str">
        <f>HYPERLINK("https://ssb.ee/11340839-ID/tootajad-palgad","link")</f>
        <v>link</v>
      </c>
      <c r="AI125" t="s">
        <v>973</v>
      </c>
      <c r="AJ125">
        <v>0.223</v>
      </c>
      <c r="AK125" s="9" t="s">
        <v>51</v>
      </c>
      <c r="AL125" s="4" t="str">
        <f>HYPERLINK("https://ssb.ee/juhatuse-liikme-cv?id=371089","link")</f>
        <v>link</v>
      </c>
    </row>
    <row r="126" spans="1:38" x14ac:dyDescent="0.25">
      <c r="A126">
        <v>16297864</v>
      </c>
      <c r="B126" t="s">
        <v>974</v>
      </c>
      <c r="C126" s="3">
        <v>44431</v>
      </c>
      <c r="D126" t="s">
        <v>39</v>
      </c>
      <c r="E126" t="s">
        <v>975</v>
      </c>
      <c r="F126" s="4" t="str">
        <f>HYPERLINK("https://ssb.ee/16297864-ID/otsustajad-kasusaajad","link")</f>
        <v>link</v>
      </c>
      <c r="G126" t="s">
        <v>976</v>
      </c>
      <c r="H126" t="s">
        <v>47</v>
      </c>
      <c r="I126" s="4" t="str">
        <f>HYPERLINK("https://vallhalaex.ee/","link")</f>
        <v>link</v>
      </c>
      <c r="J126" t="s">
        <v>112</v>
      </c>
      <c r="K126" t="s">
        <v>977</v>
      </c>
      <c r="L126" t="s">
        <v>978</v>
      </c>
      <c r="M126" s="4" t="str">
        <f>HYPERLINK("https://ssb.ee/16297864-ID/meedia-arvamuslood","link")</f>
        <v>link</v>
      </c>
      <c r="N126" t="s">
        <v>47</v>
      </c>
      <c r="O126" t="s">
        <v>47</v>
      </c>
      <c r="P126" t="s">
        <v>47</v>
      </c>
      <c r="Q126" s="6">
        <v>500</v>
      </c>
      <c r="R126" t="s">
        <v>47</v>
      </c>
      <c r="S126" s="7" t="s">
        <v>47</v>
      </c>
      <c r="T126" s="7" t="s">
        <v>47</v>
      </c>
      <c r="U126" s="7" t="s">
        <v>47</v>
      </c>
      <c r="V126">
        <v>2.3E-2</v>
      </c>
      <c r="W126" s="8" t="s">
        <v>48</v>
      </c>
      <c r="X126" t="s">
        <v>49</v>
      </c>
      <c r="Y126" s="4" t="str">
        <f>HYPERLINK("https://ssb.ee/16297864-ID/kohustused-volad-kohtulahendid","link")</f>
        <v>link</v>
      </c>
      <c r="Z126">
        <v>3190</v>
      </c>
      <c r="AA126" s="4" t="str">
        <f>HYPERLINK("https://ssb.ee/16297864-ID/finantsid-varad-prognoosid","link")</f>
        <v>link</v>
      </c>
      <c r="AB126" s="6">
        <v>4015</v>
      </c>
      <c r="AC126" s="6">
        <v>4198</v>
      </c>
      <c r="AD126" s="6" t="s">
        <v>47</v>
      </c>
      <c r="AE126">
        <v>2</v>
      </c>
      <c r="AF126" s="6" t="s">
        <v>47</v>
      </c>
      <c r="AG126" s="6">
        <v>1390</v>
      </c>
      <c r="AH126" s="4" t="str">
        <f>HYPERLINK("https://ssb.ee/16297864-ID/tootajad-palgad","link")</f>
        <v>link</v>
      </c>
      <c r="AI126" t="s">
        <v>979</v>
      </c>
      <c r="AJ126">
        <v>0.23200000000000001</v>
      </c>
      <c r="AK126" s="9" t="s">
        <v>51</v>
      </c>
      <c r="AL126" s="4" t="str">
        <f>HYPERLINK("https://ssb.ee/juhatuse-liikme-cv?id=312834","link")</f>
        <v>link</v>
      </c>
    </row>
    <row r="127" spans="1:38" x14ac:dyDescent="0.25">
      <c r="A127">
        <v>14648093</v>
      </c>
      <c r="B127" t="s">
        <v>980</v>
      </c>
      <c r="C127" s="3">
        <v>43489</v>
      </c>
      <c r="D127" t="s">
        <v>39</v>
      </c>
      <c r="E127" t="s">
        <v>981</v>
      </c>
      <c r="F127" s="4" t="str">
        <f>HYPERLINK("https://ssb.ee/14648093-ID/otsustajad-kasusaajad","link")</f>
        <v>link</v>
      </c>
      <c r="G127" t="s">
        <v>982</v>
      </c>
      <c r="H127" t="s">
        <v>983</v>
      </c>
      <c r="I127" s="4" t="str">
        <f>HYPERLINK("http://atlant-ex.eu","link")</f>
        <v>link</v>
      </c>
      <c r="J127" t="s">
        <v>62</v>
      </c>
      <c r="K127" t="s">
        <v>63</v>
      </c>
      <c r="L127" t="s">
        <v>64</v>
      </c>
      <c r="M127" s="4" t="str">
        <f>HYPERLINK("https://ssb.ee/14648093-ID/meedia-arvamuslood","link")</f>
        <v>link</v>
      </c>
      <c r="N127" t="s">
        <v>47</v>
      </c>
      <c r="O127" t="s">
        <v>47</v>
      </c>
      <c r="P127" t="s">
        <v>47</v>
      </c>
      <c r="Q127" s="6" t="s">
        <v>47</v>
      </c>
      <c r="R127">
        <v>2021</v>
      </c>
      <c r="S127" s="7" t="s">
        <v>984</v>
      </c>
      <c r="T127" s="12">
        <v>44783</v>
      </c>
      <c r="U127" s="7" t="s">
        <v>47</v>
      </c>
      <c r="V127">
        <v>0.999</v>
      </c>
      <c r="W127" s="7" t="s">
        <v>575</v>
      </c>
      <c r="X127" t="s">
        <v>576</v>
      </c>
      <c r="Y127" s="4" t="str">
        <f>HYPERLINK("https://ssb.ee/14648093-ID/kohustused-volad-kohtulahendid","link")</f>
        <v>link</v>
      </c>
      <c r="Z127">
        <v>2440</v>
      </c>
      <c r="AA127" s="4" t="str">
        <f>HYPERLINK("https://ssb.ee/14648093-ID/finantsid-varad-prognoosid","link")</f>
        <v>link</v>
      </c>
      <c r="AB127" s="6" t="s">
        <v>47</v>
      </c>
      <c r="AC127" s="6" t="s">
        <v>47</v>
      </c>
      <c r="AD127" s="6" t="s">
        <v>47</v>
      </c>
      <c r="AE127">
        <v>1</v>
      </c>
      <c r="AF127" s="6" t="s">
        <v>47</v>
      </c>
      <c r="AG127" s="6" t="s">
        <v>47</v>
      </c>
      <c r="AH127" s="4" t="str">
        <f>HYPERLINK("https://ssb.ee/14648093-ID/tootajad-palgad","link")</f>
        <v>link</v>
      </c>
      <c r="AI127" t="s">
        <v>985</v>
      </c>
      <c r="AJ127">
        <v>0.505</v>
      </c>
      <c r="AK127" s="11" t="s">
        <v>150</v>
      </c>
      <c r="AL127" s="4" t="str">
        <f>HYPERLINK("https://ssb.ee/juhatuse-liikme-cv?id=1422047","link")</f>
        <v>link</v>
      </c>
    </row>
    <row r="128" spans="1:38" x14ac:dyDescent="0.25">
      <c r="A128">
        <v>10243330</v>
      </c>
      <c r="B128" t="s">
        <v>986</v>
      </c>
      <c r="C128" s="3">
        <v>35647</v>
      </c>
      <c r="D128" t="s">
        <v>39</v>
      </c>
      <c r="E128" t="s">
        <v>987</v>
      </c>
      <c r="F128" s="4" t="str">
        <f>HYPERLINK("https://ssb.ee/10243330-ID/otsustajad-kasusaajad","link")</f>
        <v>link</v>
      </c>
      <c r="G128" t="s">
        <v>988</v>
      </c>
      <c r="H128" t="s">
        <v>989</v>
      </c>
      <c r="I128" s="4" t="str">
        <f>HYPERLINK("https://spavarska.ee/","link")</f>
        <v>link</v>
      </c>
      <c r="J128" t="s">
        <v>117</v>
      </c>
      <c r="K128" t="s">
        <v>754</v>
      </c>
      <c r="L128" t="s">
        <v>755</v>
      </c>
      <c r="M128" s="4" t="str">
        <f>HYPERLINK("https://ssb.ee/10243330-ID/meedia-arvamuslood","link")</f>
        <v>link</v>
      </c>
      <c r="N128" t="s">
        <v>990</v>
      </c>
      <c r="O128" s="5">
        <v>34335</v>
      </c>
      <c r="P128" t="s">
        <v>47</v>
      </c>
      <c r="Q128" s="6">
        <v>75100</v>
      </c>
      <c r="R128">
        <v>2021</v>
      </c>
      <c r="S128" s="7" t="s">
        <v>47</v>
      </c>
      <c r="T128" s="7" t="s">
        <v>47</v>
      </c>
      <c r="U128" s="7" t="s">
        <v>47</v>
      </c>
      <c r="V128">
        <v>0.01</v>
      </c>
      <c r="W128" s="8" t="s">
        <v>48</v>
      </c>
      <c r="X128" t="s">
        <v>49</v>
      </c>
      <c r="Y128" s="4" t="str">
        <f>HYPERLINK("https://ssb.ee/10243330-ID/kohustused-volad-kohtulahendid","link")</f>
        <v>link</v>
      </c>
      <c r="Z128">
        <v>10650</v>
      </c>
      <c r="AA128" s="4" t="str">
        <f>HYPERLINK("https://ssb.ee/10243330-ID/finantsid-varad-prognoosid","link")</f>
        <v>link</v>
      </c>
      <c r="AB128" s="6">
        <v>139313</v>
      </c>
      <c r="AC128" s="6">
        <v>124565</v>
      </c>
      <c r="AD128" s="6">
        <v>862952</v>
      </c>
      <c r="AE128">
        <v>100</v>
      </c>
      <c r="AF128" s="6">
        <v>4117907</v>
      </c>
      <c r="AG128" s="6">
        <v>975</v>
      </c>
      <c r="AH128" s="4" t="str">
        <f>HYPERLINK("https://ssb.ee/10243330-ID/tootajad-palgad","link")</f>
        <v>link</v>
      </c>
      <c r="AI128" t="s">
        <v>991</v>
      </c>
      <c r="AJ128">
        <v>0.16800000000000001</v>
      </c>
      <c r="AK128" s="9" t="s">
        <v>51</v>
      </c>
      <c r="AL128" s="4" t="str">
        <f>HYPERLINK("https://ssb.ee/juhatuse-liikme-cv?id=274958","link")</f>
        <v>link</v>
      </c>
    </row>
    <row r="129" spans="1:38" x14ac:dyDescent="0.25">
      <c r="A129">
        <v>10268844</v>
      </c>
      <c r="B129" t="s">
        <v>992</v>
      </c>
      <c r="C129" s="3">
        <v>35705</v>
      </c>
      <c r="D129" t="s">
        <v>39</v>
      </c>
      <c r="E129" t="s">
        <v>993</v>
      </c>
      <c r="F129" s="4" t="str">
        <f>HYPERLINK("https://ssb.ee/10268844-ID/otsustajad-kasusaajad","link")</f>
        <v>link</v>
      </c>
      <c r="G129" t="s">
        <v>994</v>
      </c>
      <c r="H129" t="s">
        <v>995</v>
      </c>
      <c r="I129" s="4" t="str">
        <f>HYPERLINK("http://johvikas.ee/","link")</f>
        <v>link</v>
      </c>
      <c r="J129" t="s">
        <v>61</v>
      </c>
      <c r="K129" t="s">
        <v>99</v>
      </c>
      <c r="L129" t="s">
        <v>100</v>
      </c>
      <c r="M129" s="4" t="str">
        <f>HYPERLINK("https://ssb.ee/10268844-ID/meedia-arvamuslood","link")</f>
        <v>link</v>
      </c>
      <c r="N129" t="s">
        <v>996</v>
      </c>
      <c r="O129" s="5">
        <v>35034</v>
      </c>
      <c r="P129" t="s">
        <v>47</v>
      </c>
      <c r="Q129" s="6">
        <v>10700</v>
      </c>
      <c r="R129">
        <v>2021</v>
      </c>
      <c r="S129" s="7" t="s">
        <v>47</v>
      </c>
      <c r="T129" s="7" t="s">
        <v>47</v>
      </c>
      <c r="U129" s="7" t="s">
        <v>47</v>
      </c>
      <c r="V129">
        <v>0.01</v>
      </c>
      <c r="W129" s="8" t="s">
        <v>48</v>
      </c>
      <c r="X129" t="s">
        <v>49</v>
      </c>
      <c r="Y129" s="4" t="str">
        <f>HYPERLINK("https://ssb.ee/10268844-ID/kohustused-volad-kohtulahendid","link")</f>
        <v>link</v>
      </c>
      <c r="Z129">
        <v>6320</v>
      </c>
      <c r="AA129" s="4" t="str">
        <f>HYPERLINK("https://ssb.ee/10268844-ID/finantsid-varad-prognoosid","link")</f>
        <v>link</v>
      </c>
      <c r="AB129" s="6">
        <v>18854</v>
      </c>
      <c r="AC129" s="6">
        <v>3890</v>
      </c>
      <c r="AD129" s="6">
        <v>137352</v>
      </c>
      <c r="AE129">
        <v>2</v>
      </c>
      <c r="AF129" s="6">
        <v>338752</v>
      </c>
      <c r="AG129" s="6">
        <v>1315</v>
      </c>
      <c r="AH129" s="4" t="str">
        <f>HYPERLINK("https://ssb.ee/10268844-ID/tootajad-palgad","link")</f>
        <v>link</v>
      </c>
      <c r="AI129" t="s">
        <v>997</v>
      </c>
      <c r="AJ129">
        <v>0.09</v>
      </c>
      <c r="AK129" s="8" t="s">
        <v>48</v>
      </c>
      <c r="AL129" s="4" t="str">
        <f>HYPERLINK("https://ssb.ee/juhatuse-liikme-cv?id=307189","link")</f>
        <v>link</v>
      </c>
    </row>
    <row r="130" spans="1:38" x14ac:dyDescent="0.25">
      <c r="A130">
        <v>12058074</v>
      </c>
      <c r="B130" t="s">
        <v>998</v>
      </c>
      <c r="C130" s="3">
        <v>40583</v>
      </c>
      <c r="D130" t="s">
        <v>39</v>
      </c>
      <c r="E130" t="s">
        <v>999</v>
      </c>
      <c r="F130" s="4" t="str">
        <f>HYPERLINK("https://ssb.ee/12058074-ID/otsustajad-kasusaajad","link")</f>
        <v>link</v>
      </c>
      <c r="G130" t="s">
        <v>1000</v>
      </c>
      <c r="H130" t="s">
        <v>1001</v>
      </c>
      <c r="I130" s="4" t="str">
        <f>HYPERLINK("http://nordast.com","link")</f>
        <v>link</v>
      </c>
      <c r="J130" t="s">
        <v>196</v>
      </c>
      <c r="K130" t="s">
        <v>889</v>
      </c>
      <c r="L130" t="s">
        <v>890</v>
      </c>
      <c r="M130" s="4" t="str">
        <f>HYPERLINK("https://ssb.ee/12058074-ID/meedia-arvamuslood","link")</f>
        <v>link</v>
      </c>
      <c r="N130" t="s">
        <v>1002</v>
      </c>
      <c r="O130" s="5">
        <v>40599</v>
      </c>
      <c r="P130" t="s">
        <v>47</v>
      </c>
      <c r="Q130" s="6">
        <v>51100</v>
      </c>
      <c r="R130">
        <v>2021</v>
      </c>
      <c r="S130" s="7" t="s">
        <v>47</v>
      </c>
      <c r="T130" s="7" t="s">
        <v>47</v>
      </c>
      <c r="U130" s="7" t="s">
        <v>47</v>
      </c>
      <c r="V130">
        <v>0.01</v>
      </c>
      <c r="W130" s="8" t="s">
        <v>48</v>
      </c>
      <c r="X130" t="s">
        <v>49</v>
      </c>
      <c r="Y130" s="4" t="str">
        <f>HYPERLINK("https://ssb.ee/12058074-ID/kohustused-volad-kohtulahendid","link")</f>
        <v>link</v>
      </c>
      <c r="Z130">
        <v>3130</v>
      </c>
      <c r="AA130" s="4" t="str">
        <f>HYPERLINK("https://ssb.ee/12058074-ID/finantsid-varad-prognoosid","link")</f>
        <v>link</v>
      </c>
      <c r="AB130" s="6">
        <v>49350</v>
      </c>
      <c r="AC130" s="6">
        <v>51247</v>
      </c>
      <c r="AD130" s="6">
        <v>666109</v>
      </c>
      <c r="AE130">
        <v>19</v>
      </c>
      <c r="AF130" s="6">
        <v>3014659</v>
      </c>
      <c r="AG130" s="6">
        <v>1690</v>
      </c>
      <c r="AH130" s="4" t="str">
        <f>HYPERLINK("https://ssb.ee/12058074-ID/tootajad-palgad","link")</f>
        <v>link</v>
      </c>
      <c r="AI130" t="s">
        <v>1003</v>
      </c>
      <c r="AJ130">
        <v>0.25800000000000001</v>
      </c>
      <c r="AK130" s="9" t="s">
        <v>51</v>
      </c>
      <c r="AL130" s="4" t="str">
        <f>HYPERLINK("https://ssb.ee/juhatuse-liikme-cv?id=282302","link")</f>
        <v>link</v>
      </c>
    </row>
    <row r="131" spans="1:38" x14ac:dyDescent="0.25">
      <c r="A131">
        <v>14141371</v>
      </c>
      <c r="B131" t="s">
        <v>1004</v>
      </c>
      <c r="C131" s="3">
        <v>42670</v>
      </c>
      <c r="D131" t="s">
        <v>39</v>
      </c>
      <c r="E131" t="s">
        <v>1005</v>
      </c>
      <c r="F131" s="4" t="str">
        <f>HYPERLINK("https://ssb.ee/14141371-ID/otsustajad-kasusaajad","link")</f>
        <v>link</v>
      </c>
      <c r="G131" t="s">
        <v>1006</v>
      </c>
      <c r="H131" t="s">
        <v>1007</v>
      </c>
      <c r="I131" s="4" t="str">
        <f>HYPERLINK("http://pernauer.ee","link")</f>
        <v>link</v>
      </c>
      <c r="J131" t="s">
        <v>196</v>
      </c>
      <c r="K131" t="s">
        <v>1008</v>
      </c>
      <c r="L131" t="s">
        <v>1009</v>
      </c>
      <c r="M131" s="4" t="str">
        <f>HYPERLINK("https://ssb.ee/14141371-ID/meedia-arvamuslood","link")</f>
        <v>link</v>
      </c>
      <c r="N131" t="s">
        <v>1010</v>
      </c>
      <c r="O131" s="5">
        <v>42736</v>
      </c>
      <c r="P131" t="s">
        <v>47</v>
      </c>
      <c r="Q131" s="6">
        <v>1000</v>
      </c>
      <c r="R131">
        <v>2021</v>
      </c>
      <c r="S131" s="7" t="s">
        <v>47</v>
      </c>
      <c r="T131" s="7" t="s">
        <v>47</v>
      </c>
      <c r="U131" s="7" t="s">
        <v>47</v>
      </c>
      <c r="V131">
        <v>0.01</v>
      </c>
      <c r="W131" s="8" t="s">
        <v>48</v>
      </c>
      <c r="X131" t="s">
        <v>49</v>
      </c>
      <c r="Y131" s="4" t="str">
        <f>HYPERLINK("https://ssb.ee/14141371-ID/kohustused-volad-kohtulahendid","link")</f>
        <v>link</v>
      </c>
      <c r="Z131">
        <v>3280</v>
      </c>
      <c r="AA131" s="4" t="str">
        <f>HYPERLINK("https://ssb.ee/14141371-ID/finantsid-varad-prognoosid","link")</f>
        <v>link</v>
      </c>
      <c r="AB131" s="6">
        <v>892</v>
      </c>
      <c r="AC131" s="6">
        <v>1154</v>
      </c>
      <c r="AD131" s="6">
        <v>13464</v>
      </c>
      <c r="AE131">
        <v>1</v>
      </c>
      <c r="AF131" s="6">
        <v>40939</v>
      </c>
      <c r="AG131" s="6">
        <v>910</v>
      </c>
      <c r="AH131" s="4" t="str">
        <f>HYPERLINK("https://ssb.ee/14141371-ID/tootajad-palgad","link")</f>
        <v>link</v>
      </c>
      <c r="AI131" t="s">
        <v>1011</v>
      </c>
      <c r="AJ131">
        <v>0.01</v>
      </c>
      <c r="AK131" s="8" t="s">
        <v>48</v>
      </c>
      <c r="AL131" s="4" t="str">
        <f>HYPERLINK("https://ssb.ee/juhatuse-liikme-cv?id=374431","link")</f>
        <v>link</v>
      </c>
    </row>
    <row r="132" spans="1:38" x14ac:dyDescent="0.25">
      <c r="A132">
        <v>75026661</v>
      </c>
      <c r="B132" t="s">
        <v>1012</v>
      </c>
      <c r="C132" s="3">
        <v>35221</v>
      </c>
      <c r="D132" t="s">
        <v>39</v>
      </c>
      <c r="E132" t="s">
        <v>1013</v>
      </c>
      <c r="F132" s="4" t="str">
        <f>HYPERLINK("https://ssb.ee/75026661-ID/otsustajad-kasusaajad","link")</f>
        <v>link</v>
      </c>
      <c r="G132" t="s">
        <v>1014</v>
      </c>
      <c r="H132" t="s">
        <v>1015</v>
      </c>
      <c r="I132" s="4" t="str">
        <f>HYPERLINK("http://paju.edu.ee","link")</f>
        <v>link</v>
      </c>
      <c r="J132" t="s">
        <v>65</v>
      </c>
      <c r="K132" t="s">
        <v>443</v>
      </c>
      <c r="L132" t="s">
        <v>444</v>
      </c>
      <c r="M132" s="4" t="str">
        <f>HYPERLINK("https://ssb.ee/75026661-ID/meedia-arvamuslood","link")</f>
        <v>link</v>
      </c>
      <c r="N132" t="s">
        <v>47</v>
      </c>
      <c r="O132" t="s">
        <v>47</v>
      </c>
      <c r="P132" t="s">
        <v>47</v>
      </c>
      <c r="Q132" s="6" t="s">
        <v>47</v>
      </c>
      <c r="R132" t="s">
        <v>47</v>
      </c>
      <c r="S132" s="7" t="s">
        <v>47</v>
      </c>
      <c r="T132" s="7" t="s">
        <v>47</v>
      </c>
      <c r="U132" s="7" t="s">
        <v>47</v>
      </c>
      <c r="V132">
        <v>0.01</v>
      </c>
      <c r="W132" s="8" t="s">
        <v>48</v>
      </c>
      <c r="X132" t="s">
        <v>49</v>
      </c>
      <c r="Y132" s="4" t="str">
        <f>HYPERLINK("https://ssb.ee/75026661-ID/kohustused-volad-kohtulahendid","link")</f>
        <v>link</v>
      </c>
      <c r="Z132">
        <v>2330</v>
      </c>
      <c r="AA132" s="4" t="str">
        <f>HYPERLINK("https://ssb.ee/75026661-ID/finantsid-varad-prognoosid","link")</f>
        <v>link</v>
      </c>
      <c r="AB132" s="6" t="s">
        <v>47</v>
      </c>
      <c r="AC132" s="6" t="s">
        <v>47</v>
      </c>
      <c r="AD132" s="6" t="s">
        <v>47</v>
      </c>
      <c r="AE132">
        <v>93</v>
      </c>
      <c r="AF132" s="6" t="s">
        <v>47</v>
      </c>
      <c r="AG132" s="6" t="s">
        <v>47</v>
      </c>
      <c r="AH132" s="4" t="str">
        <f>HYPERLINK("https://ssb.ee/75026661-ID/tootajad-palgad","link")</f>
        <v>link</v>
      </c>
      <c r="AI132" t="s">
        <v>1016</v>
      </c>
      <c r="AJ132">
        <v>6.0000000000000001E-3</v>
      </c>
      <c r="AK132" s="8" t="s">
        <v>48</v>
      </c>
      <c r="AL132" s="4" t="str">
        <f>HYPERLINK("https://ssb.ee/juhatuse-liikme-cv?id=604194","link")</f>
        <v>link</v>
      </c>
    </row>
    <row r="133" spans="1:38" x14ac:dyDescent="0.25">
      <c r="A133">
        <v>14360392</v>
      </c>
      <c r="B133" t="s">
        <v>1017</v>
      </c>
      <c r="C133" s="3">
        <v>43034</v>
      </c>
      <c r="D133" t="s">
        <v>39</v>
      </c>
      <c r="E133" t="s">
        <v>1018</v>
      </c>
      <c r="F133" s="4" t="str">
        <f>HYPERLINK("https://ssb.ee/14360392-ID/otsustajad-kasusaajad","link")</f>
        <v>link</v>
      </c>
      <c r="G133" t="s">
        <v>1019</v>
      </c>
      <c r="H133" t="s">
        <v>1020</v>
      </c>
      <c r="I133" s="4" t="str">
        <f>HYPERLINK("https://www.tibnor.se/en/ ","link")</f>
        <v>link</v>
      </c>
      <c r="J133" t="s">
        <v>43</v>
      </c>
      <c r="K133" t="s">
        <v>1021</v>
      </c>
      <c r="L133" t="s">
        <v>1022</v>
      </c>
      <c r="M133" s="4" t="str">
        <f>HYPERLINK("https://ssb.ee/14360392-ID/meedia-arvamuslood","link")</f>
        <v>link</v>
      </c>
      <c r="N133" t="s">
        <v>1023</v>
      </c>
      <c r="O133" s="5">
        <v>43101</v>
      </c>
      <c r="P133" t="s">
        <v>47</v>
      </c>
      <c r="Q133" s="6">
        <v>100000</v>
      </c>
      <c r="R133">
        <v>2021</v>
      </c>
      <c r="S133" s="7" t="s">
        <v>47</v>
      </c>
      <c r="T133" s="7" t="s">
        <v>47</v>
      </c>
      <c r="U133" s="7" t="s">
        <v>47</v>
      </c>
      <c r="V133">
        <v>0.01</v>
      </c>
      <c r="W133" s="8" t="s">
        <v>48</v>
      </c>
      <c r="X133" t="s">
        <v>49</v>
      </c>
      <c r="Y133" s="4" t="str">
        <f>HYPERLINK("https://ssb.ee/14360392-ID/kohustused-volad-kohtulahendid","link")</f>
        <v>link</v>
      </c>
      <c r="Z133">
        <v>15490</v>
      </c>
      <c r="AA133" s="4" t="str">
        <f>HYPERLINK("https://ssb.ee/14360392-ID/finantsid-varad-prognoosid","link")</f>
        <v>link</v>
      </c>
      <c r="AB133" s="6">
        <v>239435</v>
      </c>
      <c r="AC133" s="6">
        <v>168593</v>
      </c>
      <c r="AD133" s="6">
        <v>11509346</v>
      </c>
      <c r="AE133">
        <v>26</v>
      </c>
      <c r="AF133" s="6">
        <v>48452627</v>
      </c>
      <c r="AG133" s="6">
        <v>3730</v>
      </c>
      <c r="AH133" s="4" t="str">
        <f>HYPERLINK("https://ssb.ee/14360392-ID/tootajad-palgad","link")</f>
        <v>link</v>
      </c>
      <c r="AI133" t="s">
        <v>1024</v>
      </c>
      <c r="AJ133">
        <v>7.0000000000000001E-3</v>
      </c>
      <c r="AK133" s="8" t="s">
        <v>48</v>
      </c>
      <c r="AL133" s="4" t="str">
        <f>HYPERLINK("https://ssb.ee/juhatuse-liikme-cv?id=670097","link")</f>
        <v>link</v>
      </c>
    </row>
    <row r="134" spans="1:38" x14ac:dyDescent="0.25">
      <c r="A134">
        <v>10794567</v>
      </c>
      <c r="B134" t="s">
        <v>1025</v>
      </c>
      <c r="C134" s="3">
        <v>37120</v>
      </c>
      <c r="D134" t="s">
        <v>39</v>
      </c>
      <c r="E134" t="s">
        <v>1026</v>
      </c>
      <c r="F134" s="4" t="str">
        <f>HYPERLINK("https://ssb.ee/10794567-ID/otsustajad-kasusaajad","link")</f>
        <v>link</v>
      </c>
      <c r="G134" t="s">
        <v>1027</v>
      </c>
      <c r="H134" t="s">
        <v>1028</v>
      </c>
      <c r="I134" s="4" t="str">
        <f>HYPERLINK("https://www.warmaauto.ee/","link")</f>
        <v>link</v>
      </c>
      <c r="J134" t="s">
        <v>43</v>
      </c>
      <c r="K134" t="s">
        <v>508</v>
      </c>
      <c r="L134" t="s">
        <v>321</v>
      </c>
      <c r="M134" s="4" t="str">
        <f>HYPERLINK("https://ssb.ee/10794567-ID/meedia-arvamuslood","link")</f>
        <v>link</v>
      </c>
      <c r="N134" t="s">
        <v>1029</v>
      </c>
      <c r="O134" s="5">
        <v>37135</v>
      </c>
      <c r="P134" t="s">
        <v>47</v>
      </c>
      <c r="Q134" s="6">
        <v>48100</v>
      </c>
      <c r="R134">
        <v>2021</v>
      </c>
      <c r="S134" s="7" t="s">
        <v>47</v>
      </c>
      <c r="T134" s="7" t="s">
        <v>47</v>
      </c>
      <c r="U134" s="7" t="s">
        <v>47</v>
      </c>
      <c r="V134">
        <v>0.01</v>
      </c>
      <c r="W134" s="8" t="s">
        <v>48</v>
      </c>
      <c r="X134" t="s">
        <v>49</v>
      </c>
      <c r="Y134" s="4" t="str">
        <f>HYPERLINK("https://ssb.ee/10794567-ID/kohustused-volad-kohtulahendid","link")</f>
        <v>link</v>
      </c>
      <c r="Z134">
        <v>2830</v>
      </c>
      <c r="AA134" s="4" t="str">
        <f>HYPERLINK("https://ssb.ee/10794567-ID/finantsid-varad-prognoosid","link")</f>
        <v>link</v>
      </c>
      <c r="AB134" s="6">
        <v>25286</v>
      </c>
      <c r="AC134" s="6">
        <v>17803</v>
      </c>
      <c r="AD134" s="6">
        <v>678069</v>
      </c>
      <c r="AE134">
        <v>13</v>
      </c>
      <c r="AF134" s="6">
        <v>2779798</v>
      </c>
      <c r="AG134" s="6">
        <v>1040</v>
      </c>
      <c r="AH134" s="4" t="str">
        <f>HYPERLINK("https://ssb.ee/10794567-ID/tootajad-palgad","link")</f>
        <v>link</v>
      </c>
      <c r="AI134" t="s">
        <v>1030</v>
      </c>
      <c r="AJ134">
        <v>8.0000000000000002E-3</v>
      </c>
      <c r="AK134" s="8" t="s">
        <v>48</v>
      </c>
      <c r="AL134" s="4" t="str">
        <f>HYPERLINK("https://ssb.ee/juhatuse-liikme-cv?id=269976","link")</f>
        <v>link</v>
      </c>
    </row>
    <row r="135" spans="1:38" x14ac:dyDescent="0.25">
      <c r="A135">
        <v>10702683</v>
      </c>
      <c r="B135" t="s">
        <v>1031</v>
      </c>
      <c r="C135" s="3">
        <v>36798</v>
      </c>
      <c r="D135" t="s">
        <v>39</v>
      </c>
      <c r="E135" t="s">
        <v>1032</v>
      </c>
      <c r="F135" s="4" t="str">
        <f>HYPERLINK("https://ssb.ee/10702683-ID/otsustajad-kasusaajad","link")</f>
        <v>link</v>
      </c>
      <c r="G135" t="s">
        <v>1033</v>
      </c>
      <c r="H135" t="s">
        <v>1034</v>
      </c>
      <c r="I135" s="4" t="str">
        <f>HYPERLINK("http://ktsbaltic.ee","link")</f>
        <v>link</v>
      </c>
      <c r="J135" t="s">
        <v>43</v>
      </c>
      <c r="K135" t="s">
        <v>1035</v>
      </c>
      <c r="L135" t="s">
        <v>1036</v>
      </c>
      <c r="M135" s="4" t="str">
        <f>HYPERLINK("https://ssb.ee/10702683-ID/meedia-arvamuslood","link")</f>
        <v>link</v>
      </c>
      <c r="N135" t="s">
        <v>1037</v>
      </c>
      <c r="O135" s="5">
        <v>36831</v>
      </c>
      <c r="P135" t="s">
        <v>47</v>
      </c>
      <c r="Q135" s="6">
        <v>38500</v>
      </c>
      <c r="R135">
        <v>2021</v>
      </c>
      <c r="S135" s="7" t="s">
        <v>47</v>
      </c>
      <c r="T135" s="7" t="s">
        <v>47</v>
      </c>
      <c r="U135" s="7" t="s">
        <v>47</v>
      </c>
      <c r="V135">
        <v>0.01</v>
      </c>
      <c r="W135" s="8" t="s">
        <v>48</v>
      </c>
      <c r="X135" t="s">
        <v>49</v>
      </c>
      <c r="Y135" s="4" t="str">
        <f>HYPERLINK("https://ssb.ee/10702683-ID/kohustused-volad-kohtulahendid","link")</f>
        <v>link</v>
      </c>
      <c r="Z135">
        <v>1960</v>
      </c>
      <c r="AA135" s="4" t="str">
        <f>HYPERLINK("https://ssb.ee/10702683-ID/finantsid-varad-prognoosid","link")</f>
        <v>link</v>
      </c>
      <c r="AB135" s="6">
        <v>42388</v>
      </c>
      <c r="AC135" s="6">
        <v>6794</v>
      </c>
      <c r="AD135" s="6">
        <v>528763</v>
      </c>
      <c r="AE135">
        <v>4</v>
      </c>
      <c r="AF135" s="6">
        <v>1059526</v>
      </c>
      <c r="AG135" s="6">
        <v>1240</v>
      </c>
      <c r="AH135" s="4" t="str">
        <f>HYPERLINK("https://ssb.ee/10702683-ID/tootajad-palgad","link")</f>
        <v>link</v>
      </c>
      <c r="AI135" t="s">
        <v>1038</v>
      </c>
      <c r="AJ135">
        <v>4.7E-2</v>
      </c>
      <c r="AK135" s="8" t="s">
        <v>48</v>
      </c>
      <c r="AL135" s="4" t="str">
        <f>HYPERLINK("https://ssb.ee/juhatuse-liikme-cv?id=291544","link")</f>
        <v>link</v>
      </c>
    </row>
    <row r="136" spans="1:38" x14ac:dyDescent="0.25">
      <c r="A136">
        <v>11961872</v>
      </c>
      <c r="B136" t="s">
        <v>1039</v>
      </c>
      <c r="C136" s="3">
        <v>40361</v>
      </c>
      <c r="D136" t="s">
        <v>39</v>
      </c>
      <c r="E136" t="s">
        <v>1040</v>
      </c>
      <c r="F136" s="4" t="str">
        <f>HYPERLINK("https://ssb.ee/11961872-ID/otsustajad-kasusaajad","link")</f>
        <v>link</v>
      </c>
      <c r="G136" t="s">
        <v>1041</v>
      </c>
      <c r="H136" t="s">
        <v>1042</v>
      </c>
      <c r="I136" s="4" t="str">
        <f>HYPERLINK("https://glassimpex.ee/en","link")</f>
        <v>link</v>
      </c>
      <c r="J136" t="s">
        <v>43</v>
      </c>
      <c r="K136" t="s">
        <v>495</v>
      </c>
      <c r="L136" t="s">
        <v>496</v>
      </c>
      <c r="M136" s="4" t="str">
        <f>HYPERLINK("https://ssb.ee/11961872-ID/meedia-arvamuslood","link")</f>
        <v>link</v>
      </c>
      <c r="N136" t="s">
        <v>1043</v>
      </c>
      <c r="O136" s="5">
        <v>40575</v>
      </c>
      <c r="P136" t="s">
        <v>47</v>
      </c>
      <c r="Q136" s="6">
        <v>100000</v>
      </c>
      <c r="R136">
        <v>2021</v>
      </c>
      <c r="S136" s="7" t="s">
        <v>47</v>
      </c>
      <c r="T136" s="7" t="s">
        <v>47</v>
      </c>
      <c r="U136" s="7" t="s">
        <v>47</v>
      </c>
      <c r="V136">
        <v>0.01</v>
      </c>
      <c r="W136" s="8" t="s">
        <v>48</v>
      </c>
      <c r="X136" t="s">
        <v>49</v>
      </c>
      <c r="Y136" s="4" t="str">
        <f>HYPERLINK("https://ssb.ee/11961872-ID/kohustused-volad-kohtulahendid","link")</f>
        <v>link</v>
      </c>
      <c r="Z136">
        <v>7020</v>
      </c>
      <c r="AA136" s="4" t="str">
        <f>HYPERLINK("https://ssb.ee/11961872-ID/finantsid-varad-prognoosid","link")</f>
        <v>link</v>
      </c>
      <c r="AB136" s="6" t="s">
        <v>47</v>
      </c>
      <c r="AC136" s="6">
        <v>40021</v>
      </c>
      <c r="AD136" s="6">
        <v>4892978</v>
      </c>
      <c r="AE136">
        <v>12</v>
      </c>
      <c r="AF136" s="6">
        <v>16533127</v>
      </c>
      <c r="AG136" s="6">
        <v>1995</v>
      </c>
      <c r="AH136" s="4" t="str">
        <f>HYPERLINK("https://ssb.ee/11961872-ID/tootajad-palgad","link")</f>
        <v>link</v>
      </c>
      <c r="AI136" t="s">
        <v>1044</v>
      </c>
      <c r="AJ136">
        <v>0.20799999999999999</v>
      </c>
      <c r="AK136" s="9" t="s">
        <v>51</v>
      </c>
      <c r="AL136" s="4" t="str">
        <f>HYPERLINK("https://ssb.ee/juhatuse-liikme-cv?id=344771","link")</f>
        <v>link</v>
      </c>
    </row>
    <row r="137" spans="1:38" x14ac:dyDescent="0.25">
      <c r="A137">
        <v>14315718</v>
      </c>
      <c r="B137" t="s">
        <v>1045</v>
      </c>
      <c r="C137" s="3">
        <v>42968</v>
      </c>
      <c r="D137" t="s">
        <v>39</v>
      </c>
      <c r="E137" t="s">
        <v>1046</v>
      </c>
      <c r="F137" s="4" t="str">
        <f>HYPERLINK("https://ssb.ee/14315718-ID/otsustajad-kasusaajad","link")</f>
        <v>link</v>
      </c>
      <c r="G137" t="s">
        <v>1047</v>
      </c>
      <c r="H137" t="s">
        <v>1048</v>
      </c>
      <c r="I137" s="4" t="str">
        <f>HYPERLINK("http://motherlink.io","link")</f>
        <v>link</v>
      </c>
      <c r="J137" t="s">
        <v>112</v>
      </c>
      <c r="K137" t="s">
        <v>343</v>
      </c>
      <c r="L137" t="s">
        <v>344</v>
      </c>
      <c r="M137" s="4" t="str">
        <f>HYPERLINK("https://ssb.ee/14315718-ID/meedia-arvamuslood","link")</f>
        <v>link</v>
      </c>
      <c r="N137" t="s">
        <v>1049</v>
      </c>
      <c r="O137" s="5">
        <v>43221</v>
      </c>
      <c r="P137" t="s">
        <v>47</v>
      </c>
      <c r="Q137" s="6">
        <v>72200</v>
      </c>
      <c r="R137">
        <v>2021</v>
      </c>
      <c r="S137" s="7" t="s">
        <v>47</v>
      </c>
      <c r="T137" s="7" t="s">
        <v>47</v>
      </c>
      <c r="U137" s="7" t="s">
        <v>47</v>
      </c>
      <c r="V137">
        <v>0.01</v>
      </c>
      <c r="W137" s="8" t="s">
        <v>48</v>
      </c>
      <c r="X137" t="s">
        <v>49</v>
      </c>
      <c r="Y137" s="4" t="str">
        <f>HYPERLINK("https://ssb.ee/14315718-ID/kohustused-volad-kohtulahendid","link")</f>
        <v>link</v>
      </c>
      <c r="Z137">
        <v>2300</v>
      </c>
      <c r="AA137" s="4" t="str">
        <f>HYPERLINK("https://ssb.ee/14315718-ID/finantsid-varad-prognoosid","link")</f>
        <v>link</v>
      </c>
      <c r="AB137" s="6">
        <v>100117</v>
      </c>
      <c r="AC137" s="6">
        <v>50645</v>
      </c>
      <c r="AD137" s="6">
        <v>932787</v>
      </c>
      <c r="AE137">
        <v>15</v>
      </c>
      <c r="AF137" s="6">
        <v>2028854</v>
      </c>
      <c r="AG137" s="6">
        <v>2070</v>
      </c>
      <c r="AH137" s="4" t="str">
        <f>HYPERLINK("https://ssb.ee/14315718-ID/tootajad-palgad","link")</f>
        <v>link</v>
      </c>
      <c r="AI137" t="s">
        <v>1050</v>
      </c>
      <c r="AJ137">
        <v>0.67</v>
      </c>
      <c r="AK137" s="10" t="s">
        <v>103</v>
      </c>
      <c r="AL137" s="4" t="str">
        <f>HYPERLINK("https://ssb.ee/juhatuse-liikme-cv?id=379771","link")</f>
        <v>link</v>
      </c>
    </row>
    <row r="138" spans="1:38" x14ac:dyDescent="0.25">
      <c r="A138">
        <v>12205747</v>
      </c>
      <c r="B138" t="s">
        <v>1051</v>
      </c>
      <c r="C138" s="3">
        <v>40891</v>
      </c>
      <c r="D138" t="s">
        <v>39</v>
      </c>
      <c r="E138" t="s">
        <v>1052</v>
      </c>
      <c r="F138" s="4" t="str">
        <f>HYPERLINK("https://ssb.ee/12205747-ID/otsustajad-kasusaajad","link")</f>
        <v>link</v>
      </c>
      <c r="G138" t="s">
        <v>1053</v>
      </c>
      <c r="H138" t="s">
        <v>1054</v>
      </c>
      <c r="I138" s="4" t="str">
        <f>HYPERLINK("http://ralfiveosed.ee","link")</f>
        <v>link</v>
      </c>
      <c r="J138" t="s">
        <v>81</v>
      </c>
      <c r="K138" t="s">
        <v>264</v>
      </c>
      <c r="L138" t="s">
        <v>265</v>
      </c>
      <c r="M138" s="4" t="str">
        <f>HYPERLINK("https://ssb.ee/12205747-ID/meedia-arvamuslood","link")</f>
        <v>link</v>
      </c>
      <c r="N138" t="s">
        <v>1055</v>
      </c>
      <c r="O138" s="5">
        <v>40896</v>
      </c>
      <c r="P138" t="s">
        <v>47</v>
      </c>
      <c r="Q138" s="6">
        <v>89200</v>
      </c>
      <c r="R138">
        <v>2021</v>
      </c>
      <c r="S138" s="7" t="s">
        <v>47</v>
      </c>
      <c r="T138" s="7" t="s">
        <v>47</v>
      </c>
      <c r="U138" s="7" t="s">
        <v>47</v>
      </c>
      <c r="V138">
        <v>0.01</v>
      </c>
      <c r="W138" s="8" t="s">
        <v>48</v>
      </c>
      <c r="X138" t="s">
        <v>49</v>
      </c>
      <c r="Y138" s="4" t="str">
        <f>HYPERLINK("https://ssb.ee/12205747-ID/kohustused-volad-kohtulahendid","link")</f>
        <v>link</v>
      </c>
      <c r="Z138">
        <v>2990</v>
      </c>
      <c r="AA138" s="4" t="str">
        <f>HYPERLINK("https://ssb.ee/12205747-ID/finantsid-varad-prognoosid","link")</f>
        <v>link</v>
      </c>
      <c r="AB138" s="6">
        <v>11731</v>
      </c>
      <c r="AC138" s="6">
        <v>31599</v>
      </c>
      <c r="AD138" s="6">
        <v>1294401</v>
      </c>
      <c r="AE138">
        <v>17</v>
      </c>
      <c r="AF138" s="6">
        <v>1515542</v>
      </c>
      <c r="AG138" s="6">
        <v>1315</v>
      </c>
      <c r="AH138" s="4" t="str">
        <f>HYPERLINK("https://ssb.ee/12205747-ID/tootajad-palgad","link")</f>
        <v>link</v>
      </c>
      <c r="AI138" t="s">
        <v>1056</v>
      </c>
      <c r="AJ138">
        <v>0.01</v>
      </c>
      <c r="AK138" s="8" t="s">
        <v>48</v>
      </c>
      <c r="AL138" s="4" t="str">
        <f>HYPERLINK("https://ssb.ee/juhatuse-liikme-cv?id=377604","link")</f>
        <v>link</v>
      </c>
    </row>
    <row r="139" spans="1:38" x14ac:dyDescent="0.25">
      <c r="A139">
        <v>11548592</v>
      </c>
      <c r="B139" t="s">
        <v>1057</v>
      </c>
      <c r="C139" s="3">
        <v>39744</v>
      </c>
      <c r="D139" t="s">
        <v>39</v>
      </c>
      <c r="E139" t="s">
        <v>1058</v>
      </c>
      <c r="F139" s="4" t="str">
        <f>HYPERLINK("https://ssb.ee/11548592-ID/otsustajad-kasusaajad","link")</f>
        <v>link</v>
      </c>
      <c r="G139" t="s">
        <v>1059</v>
      </c>
      <c r="H139" t="s">
        <v>1060</v>
      </c>
      <c r="I139" s="4" t="str">
        <f>HYPERLINK("https://www.chakra.ee/ ","link")</f>
        <v>link</v>
      </c>
      <c r="J139" t="s">
        <v>56</v>
      </c>
      <c r="K139" t="s">
        <v>1061</v>
      </c>
      <c r="L139" t="s">
        <v>1062</v>
      </c>
      <c r="M139" s="4" t="str">
        <f>HYPERLINK("https://ssb.ee/11548592-ID/meedia-arvamuslood","link")</f>
        <v>link</v>
      </c>
      <c r="N139" t="s">
        <v>1063</v>
      </c>
      <c r="O139" s="5">
        <v>39973</v>
      </c>
      <c r="P139" t="s">
        <v>47</v>
      </c>
      <c r="Q139" s="6">
        <v>21100</v>
      </c>
      <c r="R139">
        <v>2021</v>
      </c>
      <c r="S139" s="7" t="s">
        <v>47</v>
      </c>
      <c r="T139" s="7" t="s">
        <v>47</v>
      </c>
      <c r="U139" s="7" t="s">
        <v>47</v>
      </c>
      <c r="V139">
        <v>0.01</v>
      </c>
      <c r="W139" s="8" t="s">
        <v>48</v>
      </c>
      <c r="X139" t="s">
        <v>49</v>
      </c>
      <c r="Y139" s="4" t="str">
        <f>HYPERLINK("https://ssb.ee/11548592-ID/kohustused-volad-kohtulahendid","link")</f>
        <v>link</v>
      </c>
      <c r="Z139">
        <v>2330</v>
      </c>
      <c r="AA139" s="4" t="str">
        <f>HYPERLINK("https://ssb.ee/11548592-ID/finantsid-varad-prognoosid","link")</f>
        <v>link</v>
      </c>
      <c r="AB139" s="6">
        <v>52619</v>
      </c>
      <c r="AC139" s="6">
        <v>23350</v>
      </c>
      <c r="AD139" s="6">
        <v>240516</v>
      </c>
      <c r="AE139">
        <v>17</v>
      </c>
      <c r="AF139" s="6">
        <v>875790</v>
      </c>
      <c r="AG139" s="6">
        <v>1040</v>
      </c>
      <c r="AH139" s="4" t="str">
        <f>HYPERLINK("https://ssb.ee/11548592-ID/tootajad-palgad","link")</f>
        <v>link</v>
      </c>
      <c r="AI139" t="s">
        <v>1064</v>
      </c>
      <c r="AJ139">
        <v>0.251</v>
      </c>
      <c r="AK139" s="9" t="s">
        <v>51</v>
      </c>
      <c r="AL139" s="4" t="str">
        <f>HYPERLINK("https://ssb.ee/juhatuse-liikme-cv?id=283220","link")</f>
        <v>link</v>
      </c>
    </row>
    <row r="140" spans="1:38" x14ac:dyDescent="0.25">
      <c r="A140">
        <v>10223053</v>
      </c>
      <c r="B140" t="s">
        <v>1065</v>
      </c>
      <c r="C140" s="3">
        <v>35521</v>
      </c>
      <c r="D140" t="s">
        <v>39</v>
      </c>
      <c r="E140" t="s">
        <v>1066</v>
      </c>
      <c r="F140" s="4" t="str">
        <f>HYPERLINK("https://ssb.ee/10223053-ID/otsustajad-kasusaajad","link")</f>
        <v>link</v>
      </c>
      <c r="G140" t="s">
        <v>1067</v>
      </c>
      <c r="H140" t="s">
        <v>1068</v>
      </c>
      <c r="I140" s="4" t="str">
        <f>HYPERLINK("http://kunstipada.ee ","link")</f>
        <v>link</v>
      </c>
      <c r="J140" t="s">
        <v>61</v>
      </c>
      <c r="K140" t="s">
        <v>99</v>
      </c>
      <c r="L140" t="s">
        <v>100</v>
      </c>
      <c r="M140" s="4" t="str">
        <f>HYPERLINK("https://ssb.ee/10223053-ID/meedia-arvamuslood","link")</f>
        <v>link</v>
      </c>
      <c r="N140" t="s">
        <v>1069</v>
      </c>
      <c r="O140" s="5">
        <v>35521</v>
      </c>
      <c r="P140" t="s">
        <v>47</v>
      </c>
      <c r="Q140" s="6">
        <v>54500</v>
      </c>
      <c r="R140">
        <v>2020</v>
      </c>
      <c r="S140" s="7" t="s">
        <v>47</v>
      </c>
      <c r="T140" s="7" t="s">
        <v>47</v>
      </c>
      <c r="U140" s="7" t="s">
        <v>47</v>
      </c>
      <c r="V140">
        <v>0.01</v>
      </c>
      <c r="W140" s="8" t="s">
        <v>48</v>
      </c>
      <c r="X140" t="s">
        <v>49</v>
      </c>
      <c r="Y140" s="4" t="str">
        <f>HYPERLINK("https://ssb.ee/10223053-ID/kohustused-volad-kohtulahendid","link")</f>
        <v>link</v>
      </c>
      <c r="Z140">
        <v>3430</v>
      </c>
      <c r="AA140" s="4" t="str">
        <f>HYPERLINK("https://ssb.ee/10223053-ID/finantsid-varad-prognoosid","link")</f>
        <v>link</v>
      </c>
      <c r="AB140" s="6">
        <v>129600</v>
      </c>
      <c r="AC140" s="6">
        <v>71808</v>
      </c>
      <c r="AD140" s="6">
        <v>615403</v>
      </c>
      <c r="AE140">
        <v>27</v>
      </c>
      <c r="AF140" s="6">
        <v>2312756</v>
      </c>
      <c r="AG140" s="6">
        <v>1690</v>
      </c>
      <c r="AH140" s="4" t="str">
        <f>HYPERLINK("https://ssb.ee/10223053-ID/tootajad-palgad","link")</f>
        <v>link</v>
      </c>
      <c r="AI140" t="s">
        <v>1070</v>
      </c>
      <c r="AJ140">
        <v>0.01</v>
      </c>
      <c r="AK140" s="8" t="s">
        <v>48</v>
      </c>
      <c r="AL140" s="4" t="str">
        <f>HYPERLINK("https://ssb.ee/juhatuse-liikme-cv?id=274029","link")</f>
        <v>link</v>
      </c>
    </row>
    <row r="141" spans="1:38" x14ac:dyDescent="0.25">
      <c r="A141">
        <v>10449400</v>
      </c>
      <c r="B141" t="s">
        <v>1071</v>
      </c>
      <c r="C141" s="3">
        <v>35926</v>
      </c>
      <c r="D141" t="s">
        <v>39</v>
      </c>
      <c r="E141" t="s">
        <v>1072</v>
      </c>
      <c r="F141" s="4" t="str">
        <f>HYPERLINK("https://ssb.ee/10449400-ID/otsustajad-kasusaajad","link")</f>
        <v>link</v>
      </c>
      <c r="G141" t="s">
        <v>1073</v>
      </c>
      <c r="H141" t="s">
        <v>1074</v>
      </c>
      <c r="I141" s="4" t="str">
        <f>HYPERLINK("https://www.lth-baas.com/","link")</f>
        <v>link</v>
      </c>
      <c r="J141" t="s">
        <v>43</v>
      </c>
      <c r="K141" t="s">
        <v>1075</v>
      </c>
      <c r="L141" t="s">
        <v>1076</v>
      </c>
      <c r="M141" s="4" t="str">
        <f>HYPERLINK("https://ssb.ee/10449400-ID/meedia-arvamuslood","link")</f>
        <v>link</v>
      </c>
      <c r="N141" t="s">
        <v>1077</v>
      </c>
      <c r="O141" s="5">
        <v>35947</v>
      </c>
      <c r="P141" t="s">
        <v>47</v>
      </c>
      <c r="Q141" s="6">
        <v>100000</v>
      </c>
      <c r="R141">
        <v>2021</v>
      </c>
      <c r="S141" s="7" t="s">
        <v>47</v>
      </c>
      <c r="T141" s="7" t="s">
        <v>47</v>
      </c>
      <c r="U141" s="7" t="s">
        <v>47</v>
      </c>
      <c r="V141">
        <v>0.01</v>
      </c>
      <c r="W141" s="8" t="s">
        <v>48</v>
      </c>
      <c r="X141" t="s">
        <v>49</v>
      </c>
      <c r="Y141" s="4" t="str">
        <f>HYPERLINK("https://ssb.ee/10449400-ID/kohustused-volad-kohtulahendid","link")</f>
        <v>link</v>
      </c>
      <c r="Z141">
        <v>35670</v>
      </c>
      <c r="AA141" s="4" t="str">
        <f>HYPERLINK("https://ssb.ee/10449400-ID/finantsid-varad-prognoosid","link")</f>
        <v>link</v>
      </c>
      <c r="AB141" s="6">
        <v>732048</v>
      </c>
      <c r="AC141" s="6">
        <v>793685</v>
      </c>
      <c r="AD141" s="6">
        <v>10146279</v>
      </c>
      <c r="AE141">
        <v>340</v>
      </c>
      <c r="AF141" s="6">
        <v>56976575</v>
      </c>
      <c r="AG141" s="6">
        <v>1540</v>
      </c>
      <c r="AH141" s="4" t="str">
        <f>HYPERLINK("https://ssb.ee/10449400-ID/tootajad-palgad","link")</f>
        <v>link</v>
      </c>
      <c r="AI141" t="s">
        <v>1078</v>
      </c>
      <c r="AJ141">
        <v>0.01</v>
      </c>
      <c r="AK141" s="8" t="s">
        <v>48</v>
      </c>
      <c r="AL141" s="4" t="str">
        <f>HYPERLINK("https://ssb.ee/juhatuse-liikme-cv?id=296353","link")</f>
        <v>link</v>
      </c>
    </row>
    <row r="142" spans="1:38" x14ac:dyDescent="0.25">
      <c r="A142">
        <v>10366009</v>
      </c>
      <c r="B142" t="s">
        <v>1079</v>
      </c>
      <c r="C142" s="3">
        <v>35818</v>
      </c>
      <c r="D142" t="s">
        <v>39</v>
      </c>
      <c r="E142" t="s">
        <v>1080</v>
      </c>
      <c r="F142" s="4" t="str">
        <f>HYPERLINK("https://ssb.ee/10366009-ID/otsustajad-kasusaajad","link")</f>
        <v>link</v>
      </c>
      <c r="G142" t="s">
        <v>1081</v>
      </c>
      <c r="H142" t="s">
        <v>1082</v>
      </c>
      <c r="I142" s="4" t="str">
        <f>HYPERLINK("http://teemantsaagimine.ee ","link")</f>
        <v>link</v>
      </c>
      <c r="J142" t="s">
        <v>90</v>
      </c>
      <c r="K142" t="s">
        <v>1083</v>
      </c>
      <c r="L142" t="s">
        <v>1084</v>
      </c>
      <c r="M142" s="4" t="str">
        <f>HYPERLINK("https://ssb.ee/10366009-ID/meedia-arvamuslood","link")</f>
        <v>link</v>
      </c>
      <c r="N142" t="s">
        <v>1085</v>
      </c>
      <c r="O142" s="5">
        <v>35827</v>
      </c>
      <c r="P142" t="s">
        <v>47</v>
      </c>
      <c r="Q142" s="6">
        <v>11200</v>
      </c>
      <c r="R142">
        <v>2021</v>
      </c>
      <c r="S142" s="7" t="s">
        <v>47</v>
      </c>
      <c r="T142" s="7" t="s">
        <v>47</v>
      </c>
      <c r="U142" s="7" t="s">
        <v>47</v>
      </c>
      <c r="V142">
        <v>0.01</v>
      </c>
      <c r="W142" s="8" t="s">
        <v>48</v>
      </c>
      <c r="X142" t="s">
        <v>49</v>
      </c>
      <c r="Y142" s="4" t="str">
        <f>HYPERLINK("https://ssb.ee/10366009-ID/kohustused-volad-kohtulahendid","link")</f>
        <v>link</v>
      </c>
      <c r="Z142">
        <v>2410</v>
      </c>
      <c r="AA142" s="4" t="str">
        <f>HYPERLINK("https://ssb.ee/10366009-ID/finantsid-varad-prognoosid","link")</f>
        <v>link</v>
      </c>
      <c r="AB142" s="6">
        <v>31037</v>
      </c>
      <c r="AC142" s="6">
        <v>13624</v>
      </c>
      <c r="AD142" s="6">
        <v>122682</v>
      </c>
      <c r="AE142">
        <v>11</v>
      </c>
      <c r="AF142" s="6">
        <v>389293</v>
      </c>
      <c r="AG142" s="6">
        <v>910</v>
      </c>
      <c r="AH142" s="4" t="str">
        <f>HYPERLINK("https://ssb.ee/10366009-ID/tootajad-palgad","link")</f>
        <v>link</v>
      </c>
      <c r="AI142" t="s">
        <v>1086</v>
      </c>
      <c r="AJ142">
        <v>0.01</v>
      </c>
      <c r="AK142" s="8" t="s">
        <v>48</v>
      </c>
      <c r="AL142" s="4" t="str">
        <f>HYPERLINK("https://ssb.ee/juhatuse-liikme-cv?id=280008","link")</f>
        <v>link</v>
      </c>
    </row>
    <row r="143" spans="1:38" x14ac:dyDescent="0.25">
      <c r="A143">
        <v>10274709</v>
      </c>
      <c r="B143" t="s">
        <v>1087</v>
      </c>
      <c r="C143" s="3">
        <v>34425</v>
      </c>
      <c r="D143" t="s">
        <v>39</v>
      </c>
      <c r="E143" t="s">
        <v>1088</v>
      </c>
      <c r="F143" s="4" t="str">
        <f>HYPERLINK("https://ssb.ee/10274709-ID/otsustajad-kasusaajad","link")</f>
        <v>link</v>
      </c>
      <c r="G143" t="s">
        <v>1089</v>
      </c>
      <c r="H143" t="s">
        <v>1090</v>
      </c>
      <c r="I143" s="4" t="str">
        <f>HYPERLINK("https://www.teknos.com/","link")</f>
        <v>link</v>
      </c>
      <c r="J143" t="s">
        <v>43</v>
      </c>
      <c r="K143" t="s">
        <v>278</v>
      </c>
      <c r="L143" t="s">
        <v>279</v>
      </c>
      <c r="M143" s="4" t="str">
        <f>HYPERLINK("https://ssb.ee/10274709-ID/meedia-arvamuslood","link")</f>
        <v>link</v>
      </c>
      <c r="N143" t="s">
        <v>1091</v>
      </c>
      <c r="O143" s="5">
        <v>34425</v>
      </c>
      <c r="P143" t="s">
        <v>47</v>
      </c>
      <c r="Q143" s="6">
        <v>100000</v>
      </c>
      <c r="R143">
        <v>2021</v>
      </c>
      <c r="S143" s="7" t="s">
        <v>47</v>
      </c>
      <c r="T143" s="7" t="s">
        <v>47</v>
      </c>
      <c r="U143" s="7" t="s">
        <v>47</v>
      </c>
      <c r="V143">
        <v>0.01</v>
      </c>
      <c r="W143" s="8" t="s">
        <v>48</v>
      </c>
      <c r="X143" t="s">
        <v>49</v>
      </c>
      <c r="Y143" s="4" t="str">
        <f>HYPERLINK("https://ssb.ee/10274709-ID/kohustused-volad-kohtulahendid","link")</f>
        <v>link</v>
      </c>
      <c r="Z143">
        <v>10800</v>
      </c>
      <c r="AA143" s="4" t="str">
        <f>HYPERLINK("https://ssb.ee/10274709-ID/finantsid-varad-prognoosid","link")</f>
        <v>link</v>
      </c>
      <c r="AB143" s="6">
        <v>1330449</v>
      </c>
      <c r="AC143" s="6">
        <v>158089</v>
      </c>
      <c r="AD143" s="6">
        <v>7204947</v>
      </c>
      <c r="AE143">
        <v>32</v>
      </c>
      <c r="AF143" s="6">
        <v>14989621</v>
      </c>
      <c r="AG143" s="6">
        <v>2920</v>
      </c>
      <c r="AH143" s="4" t="str">
        <f>HYPERLINK("https://ssb.ee/10274709-ID/tootajad-palgad","link")</f>
        <v>link</v>
      </c>
      <c r="AI143" t="s">
        <v>1092</v>
      </c>
      <c r="AJ143">
        <v>0.01</v>
      </c>
      <c r="AK143" s="8" t="s">
        <v>48</v>
      </c>
      <c r="AL143" s="4" t="str">
        <f>HYPERLINK("https://ssb.ee/juhatuse-liikme-cv?id=383640","link")</f>
        <v>link</v>
      </c>
    </row>
    <row r="144" spans="1:38" x14ac:dyDescent="0.25">
      <c r="A144">
        <v>10542883</v>
      </c>
      <c r="B144" t="s">
        <v>1093</v>
      </c>
      <c r="C144" s="3">
        <v>36243</v>
      </c>
      <c r="D144" t="s">
        <v>39</v>
      </c>
      <c r="E144" t="s">
        <v>1094</v>
      </c>
      <c r="F144" s="4" t="str">
        <f>HYPERLINK("https://ssb.ee/10542883-ID/otsustajad-kasusaajad","link")</f>
        <v>link</v>
      </c>
      <c r="G144" t="s">
        <v>1095</v>
      </c>
      <c r="H144" t="s">
        <v>1096</v>
      </c>
      <c r="I144" s="4" t="str">
        <f>HYPERLINK("https://rpgrupp.com/ ","link")</f>
        <v>link</v>
      </c>
      <c r="J144" t="s">
        <v>43</v>
      </c>
      <c r="K144" t="s">
        <v>1097</v>
      </c>
      <c r="L144" t="s">
        <v>1098</v>
      </c>
      <c r="M144" s="4" t="str">
        <f>HYPERLINK("https://ssb.ee/10542883-ID/meedia-arvamuslood","link")</f>
        <v>link</v>
      </c>
      <c r="N144" t="s">
        <v>1099</v>
      </c>
      <c r="O144" s="5">
        <v>36251</v>
      </c>
      <c r="P144" t="s">
        <v>47</v>
      </c>
      <c r="Q144" s="6">
        <v>40800</v>
      </c>
      <c r="R144">
        <v>2021</v>
      </c>
      <c r="S144" s="7" t="s">
        <v>47</v>
      </c>
      <c r="T144" s="7" t="s">
        <v>47</v>
      </c>
      <c r="U144" s="7" t="s">
        <v>47</v>
      </c>
      <c r="V144">
        <v>0.01</v>
      </c>
      <c r="W144" s="8" t="s">
        <v>48</v>
      </c>
      <c r="X144" t="s">
        <v>49</v>
      </c>
      <c r="Y144" s="4" t="str">
        <f>HYPERLINK("https://ssb.ee/10542883-ID/kohustused-volad-kohtulahendid","link")</f>
        <v>link</v>
      </c>
      <c r="Z144">
        <v>2030</v>
      </c>
      <c r="AA144" s="4" t="str">
        <f>HYPERLINK("https://ssb.ee/10542883-ID/finantsid-varad-prognoosid","link")</f>
        <v>link</v>
      </c>
      <c r="AB144" s="6">
        <v>49350</v>
      </c>
      <c r="AC144" s="6">
        <v>17155</v>
      </c>
      <c r="AD144" s="6">
        <v>545595</v>
      </c>
      <c r="AE144">
        <v>10</v>
      </c>
      <c r="AF144" s="6">
        <v>1414747</v>
      </c>
      <c r="AG144" s="6">
        <v>1240</v>
      </c>
      <c r="AH144" s="4" t="str">
        <f>HYPERLINK("https://ssb.ee/10542883-ID/tootajad-palgad","link")</f>
        <v>link</v>
      </c>
      <c r="AI144" t="s">
        <v>1100</v>
      </c>
      <c r="AJ144">
        <v>0.17499999999999999</v>
      </c>
      <c r="AK144" s="9" t="s">
        <v>51</v>
      </c>
      <c r="AL144" s="4" t="str">
        <f>HYPERLINK("https://ssb.ee/juhatuse-liikme-cv?id=286180","link")</f>
        <v>link</v>
      </c>
    </row>
    <row r="145" spans="1:38" x14ac:dyDescent="0.25">
      <c r="A145">
        <v>12481341</v>
      </c>
      <c r="B145" t="s">
        <v>1101</v>
      </c>
      <c r="C145" s="3">
        <v>41423</v>
      </c>
      <c r="D145" t="s">
        <v>39</v>
      </c>
      <c r="E145" t="s">
        <v>1102</v>
      </c>
      <c r="F145" s="4" t="str">
        <f>HYPERLINK("https://ssb.ee/12481341-ID/otsustajad-kasusaajad","link")</f>
        <v>link</v>
      </c>
      <c r="G145" t="s">
        <v>1103</v>
      </c>
      <c r="H145" t="s">
        <v>1104</v>
      </c>
      <c r="I145" s="4" t="str">
        <f>HYPERLINK("https://www.einsener.ee/","link")</f>
        <v>link</v>
      </c>
      <c r="J145" t="s">
        <v>201</v>
      </c>
      <c r="K145" t="s">
        <v>202</v>
      </c>
      <c r="L145" t="s">
        <v>203</v>
      </c>
      <c r="M145" s="4" t="str">
        <f>HYPERLINK("https://ssb.ee/12481341-ID/meedia-arvamuslood","link")</f>
        <v>link</v>
      </c>
      <c r="N145" t="s">
        <v>1105</v>
      </c>
      <c r="O145" s="5">
        <v>42612</v>
      </c>
      <c r="P145" t="s">
        <v>47</v>
      </c>
      <c r="Q145" s="6">
        <v>32600</v>
      </c>
      <c r="R145">
        <v>2021</v>
      </c>
      <c r="S145" s="7" t="s">
        <v>47</v>
      </c>
      <c r="T145" s="7" t="s">
        <v>47</v>
      </c>
      <c r="U145" s="7" t="s">
        <v>47</v>
      </c>
      <c r="V145">
        <v>0.01</v>
      </c>
      <c r="W145" s="8" t="s">
        <v>48</v>
      </c>
      <c r="X145" t="s">
        <v>49</v>
      </c>
      <c r="Y145" s="4" t="str">
        <f>HYPERLINK("https://ssb.ee/12481341-ID/kohustused-volad-kohtulahendid","link")</f>
        <v>link</v>
      </c>
      <c r="Z145">
        <v>1920</v>
      </c>
      <c r="AA145" s="4" t="str">
        <f>HYPERLINK("https://ssb.ee/12481341-ID/finantsid-varad-prognoosid","link")</f>
        <v>link</v>
      </c>
      <c r="AB145" s="6">
        <v>38798</v>
      </c>
      <c r="AC145" s="6">
        <v>14088</v>
      </c>
      <c r="AD145" s="6">
        <v>435399</v>
      </c>
      <c r="AE145">
        <v>4</v>
      </c>
      <c r="AF145" s="6">
        <v>1590134</v>
      </c>
      <c r="AG145" s="6">
        <v>2140</v>
      </c>
      <c r="AH145" s="4" t="str">
        <f>HYPERLINK("https://ssb.ee/12481341-ID/tootajad-palgad","link")</f>
        <v>link</v>
      </c>
      <c r="AI145" t="s">
        <v>1106</v>
      </c>
      <c r="AJ145">
        <v>0.01</v>
      </c>
      <c r="AK145" s="8" t="s">
        <v>48</v>
      </c>
      <c r="AL145" s="4" t="str">
        <f>HYPERLINK("https://ssb.ee/juhatuse-liikme-cv?id=1490775","link")</f>
        <v>link</v>
      </c>
    </row>
    <row r="146" spans="1:38" x14ac:dyDescent="0.25">
      <c r="A146">
        <v>10679317</v>
      </c>
      <c r="B146" t="s">
        <v>1107</v>
      </c>
      <c r="C146" s="3">
        <v>36706</v>
      </c>
      <c r="D146" t="s">
        <v>39</v>
      </c>
      <c r="E146" t="s">
        <v>1108</v>
      </c>
      <c r="F146" s="4" t="str">
        <f>HYPERLINK("https://ssb.ee/10679317-ID/otsustajad-kasusaajad","link")</f>
        <v>link</v>
      </c>
      <c r="G146" t="s">
        <v>1109</v>
      </c>
      <c r="H146" t="s">
        <v>1110</v>
      </c>
      <c r="I146" s="4" t="str">
        <f>HYPERLINK("http://toikako.ee","link")</f>
        <v>link</v>
      </c>
      <c r="J146" t="s">
        <v>43</v>
      </c>
      <c r="K146" t="s">
        <v>115</v>
      </c>
      <c r="L146" t="s">
        <v>116</v>
      </c>
      <c r="M146" s="4" t="str">
        <f>HYPERLINK("https://ssb.ee/10679317-ID/meedia-arvamuslood","link")</f>
        <v>link</v>
      </c>
      <c r="N146" t="s">
        <v>1111</v>
      </c>
      <c r="O146" s="5">
        <v>36982</v>
      </c>
      <c r="P146" t="s">
        <v>47</v>
      </c>
      <c r="Q146" s="6">
        <v>100000</v>
      </c>
      <c r="R146">
        <v>2021</v>
      </c>
      <c r="S146" s="7" t="s">
        <v>47</v>
      </c>
      <c r="T146" s="7" t="s">
        <v>47</v>
      </c>
      <c r="U146" s="7" t="s">
        <v>47</v>
      </c>
      <c r="V146">
        <v>0.01</v>
      </c>
      <c r="W146" s="8" t="s">
        <v>48</v>
      </c>
      <c r="X146" t="s">
        <v>49</v>
      </c>
      <c r="Y146" s="4" t="str">
        <f>HYPERLINK("https://ssb.ee/10679317-ID/kohustused-volad-kohtulahendid","link")</f>
        <v>link</v>
      </c>
      <c r="Z146">
        <v>4590</v>
      </c>
      <c r="AA146" s="4" t="str">
        <f>HYPERLINK("https://ssb.ee/10679317-ID/finantsid-varad-prognoosid","link")</f>
        <v>link</v>
      </c>
      <c r="AB146" s="6">
        <v>223163</v>
      </c>
      <c r="AC146" s="6">
        <v>43783</v>
      </c>
      <c r="AD146" s="6">
        <v>2056843</v>
      </c>
      <c r="AE146">
        <v>10</v>
      </c>
      <c r="AF146" s="6">
        <v>4282736</v>
      </c>
      <c r="AG146" s="6">
        <v>2595</v>
      </c>
      <c r="AH146" s="4" t="str">
        <f>HYPERLINK("https://ssb.ee/10679317-ID/tootajad-palgad","link")</f>
        <v>link</v>
      </c>
      <c r="AI146" t="s">
        <v>1112</v>
      </c>
      <c r="AJ146">
        <v>0.20799999999999999</v>
      </c>
      <c r="AK146" s="9" t="s">
        <v>51</v>
      </c>
      <c r="AL146" s="4" t="str">
        <f>HYPERLINK("https://ssb.ee/juhatuse-liikme-cv?id=548434","link")</f>
        <v>link</v>
      </c>
    </row>
    <row r="147" spans="1:38" x14ac:dyDescent="0.25">
      <c r="A147">
        <v>10235129</v>
      </c>
      <c r="B147" t="s">
        <v>1113</v>
      </c>
      <c r="C147" s="3">
        <v>34335</v>
      </c>
      <c r="D147" t="s">
        <v>39</v>
      </c>
      <c r="E147" t="s">
        <v>1114</v>
      </c>
      <c r="F147" s="4" t="str">
        <f>HYPERLINK("https://ssb.ee/10235129-ID/otsustajad-kasusaajad","link")</f>
        <v>link</v>
      </c>
      <c r="G147" t="s">
        <v>1115</v>
      </c>
      <c r="H147" t="s">
        <v>1116</v>
      </c>
      <c r="I147" s="4" t="str">
        <f>HYPERLINK("https://neisergroup.com/en","link")</f>
        <v>link</v>
      </c>
      <c r="J147" t="s">
        <v>196</v>
      </c>
      <c r="K147" t="s">
        <v>1117</v>
      </c>
      <c r="L147" t="s">
        <v>1118</v>
      </c>
      <c r="M147" s="4" t="str">
        <f>HYPERLINK("https://ssb.ee/10235129-ID/meedia-arvamuslood","link")</f>
        <v>link</v>
      </c>
      <c r="N147" t="s">
        <v>1119</v>
      </c>
      <c r="O147" s="5">
        <v>34335</v>
      </c>
      <c r="P147" t="s">
        <v>47</v>
      </c>
      <c r="Q147" s="6">
        <v>100000</v>
      </c>
      <c r="R147">
        <v>2021</v>
      </c>
      <c r="S147" s="7" t="s">
        <v>47</v>
      </c>
      <c r="T147" s="7" t="s">
        <v>47</v>
      </c>
      <c r="U147" s="7" t="s">
        <v>47</v>
      </c>
      <c r="V147">
        <v>0.01</v>
      </c>
      <c r="W147" s="8" t="s">
        <v>48</v>
      </c>
      <c r="X147" t="s">
        <v>49</v>
      </c>
      <c r="Y147" s="4" t="str">
        <f>HYPERLINK("https://ssb.ee/10235129-ID/kohustused-volad-kohtulahendid","link")</f>
        <v>link</v>
      </c>
      <c r="Z147">
        <v>12140</v>
      </c>
      <c r="AA147" s="4" t="str">
        <f>HYPERLINK("https://ssb.ee/10235129-ID/finantsid-varad-prognoosid","link")</f>
        <v>link</v>
      </c>
      <c r="AB147" s="6">
        <v>57803</v>
      </c>
      <c r="AC147" s="6">
        <v>284768</v>
      </c>
      <c r="AD147" s="6">
        <v>4677352</v>
      </c>
      <c r="AE147">
        <v>119</v>
      </c>
      <c r="AF147" s="6">
        <v>13641599</v>
      </c>
      <c r="AG147" s="6">
        <v>1540</v>
      </c>
      <c r="AH147" s="4" t="str">
        <f>HYPERLINK("https://ssb.ee/10235129-ID/tootajad-palgad","link")</f>
        <v>link</v>
      </c>
      <c r="AI147" t="s">
        <v>1120</v>
      </c>
      <c r="AJ147">
        <v>0.17299999999999999</v>
      </c>
      <c r="AK147" s="9" t="s">
        <v>51</v>
      </c>
      <c r="AL147" s="4" t="str">
        <f>HYPERLINK("https://ssb.ee/juhatuse-liikme-cv?id=274538","link")</f>
        <v>link</v>
      </c>
    </row>
    <row r="148" spans="1:38" x14ac:dyDescent="0.25">
      <c r="A148">
        <v>10022095</v>
      </c>
      <c r="B148" t="s">
        <v>1121</v>
      </c>
      <c r="C148" s="3">
        <v>35159</v>
      </c>
      <c r="D148" t="s">
        <v>39</v>
      </c>
      <c r="E148" t="s">
        <v>1122</v>
      </c>
      <c r="F148" s="4" t="str">
        <f>HYPERLINK("https://ssb.ee/10022095-ID/otsustajad-kasusaajad","link")</f>
        <v>link</v>
      </c>
      <c r="G148" t="s">
        <v>1123</v>
      </c>
      <c r="H148" t="s">
        <v>1124</v>
      </c>
      <c r="I148" s="4" t="str">
        <f>HYPERLINK("https://kampaania.g4s.ee/aiko/et ","link")</f>
        <v>link</v>
      </c>
      <c r="J148" t="s">
        <v>90</v>
      </c>
      <c r="K148" t="s">
        <v>1125</v>
      </c>
      <c r="L148" t="s">
        <v>1126</v>
      </c>
      <c r="M148" s="4" t="str">
        <f>HYPERLINK("https://ssb.ee/10022095-ID/meedia-arvamuslood","link")</f>
        <v>link</v>
      </c>
      <c r="N148" t="s">
        <v>1127</v>
      </c>
      <c r="O148" s="5">
        <v>35247</v>
      </c>
      <c r="P148" t="s">
        <v>47</v>
      </c>
      <c r="Q148" s="6">
        <v>100000</v>
      </c>
      <c r="R148">
        <v>2021</v>
      </c>
      <c r="S148" s="7" t="s">
        <v>47</v>
      </c>
      <c r="T148" s="7" t="s">
        <v>47</v>
      </c>
      <c r="U148" s="7" t="s">
        <v>47</v>
      </c>
      <c r="V148">
        <v>0.01</v>
      </c>
      <c r="W148" s="8" t="s">
        <v>48</v>
      </c>
      <c r="X148" t="s">
        <v>49</v>
      </c>
      <c r="Y148" s="4" t="str">
        <f>HYPERLINK("https://ssb.ee/10022095-ID/kohustused-volad-kohtulahendid","link")</f>
        <v>link</v>
      </c>
      <c r="Z148">
        <v>101960</v>
      </c>
      <c r="AA148" s="4" t="str">
        <f>HYPERLINK("https://ssb.ee/10022095-ID/finantsid-varad-prognoosid","link")</f>
        <v>link</v>
      </c>
      <c r="AB148" s="6">
        <v>5996975</v>
      </c>
      <c r="AC148" s="6">
        <v>3588888</v>
      </c>
      <c r="AD148" s="6">
        <v>19366506</v>
      </c>
      <c r="AE148">
        <v>1963</v>
      </c>
      <c r="AF148" s="6">
        <v>56673407</v>
      </c>
      <c r="AG148" s="6">
        <v>1315</v>
      </c>
      <c r="AH148" s="4" t="str">
        <f>HYPERLINK("https://ssb.ee/10022095-ID/tootajad-palgad","link")</f>
        <v>link</v>
      </c>
      <c r="AI148" t="s">
        <v>1128</v>
      </c>
      <c r="AJ148">
        <v>1.2E-2</v>
      </c>
      <c r="AK148" s="8" t="s">
        <v>48</v>
      </c>
      <c r="AL148" s="4" t="str">
        <f>HYPERLINK("https://ssb.ee/juhatuse-liikme-cv?id=290377","link")</f>
        <v>link</v>
      </c>
    </row>
    <row r="149" spans="1:38" x14ac:dyDescent="0.25">
      <c r="A149">
        <v>11972663</v>
      </c>
      <c r="B149" t="s">
        <v>1129</v>
      </c>
      <c r="C149" s="3">
        <v>40388</v>
      </c>
      <c r="D149" t="s">
        <v>39</v>
      </c>
      <c r="E149" t="s">
        <v>1130</v>
      </c>
      <c r="F149" s="4" t="str">
        <f>HYPERLINK("https://ssb.ee/11972663-ID/otsustajad-kasusaajad","link")</f>
        <v>link</v>
      </c>
      <c r="G149" t="s">
        <v>1131</v>
      </c>
      <c r="H149" t="s">
        <v>1132</v>
      </c>
      <c r="I149" s="4" t="str">
        <f>HYPERLINK("http://napssolar.ee","link")</f>
        <v>link</v>
      </c>
      <c r="J149" t="s">
        <v>56</v>
      </c>
      <c r="K149" t="s">
        <v>283</v>
      </c>
      <c r="L149" t="s">
        <v>284</v>
      </c>
      <c r="M149" s="4" t="str">
        <f>HYPERLINK("https://ssb.ee/11972663-ID/meedia-arvamuslood","link")</f>
        <v>link</v>
      </c>
      <c r="N149" t="s">
        <v>1133</v>
      </c>
      <c r="O149" s="5">
        <v>40434</v>
      </c>
      <c r="P149" t="s">
        <v>47</v>
      </c>
      <c r="Q149" s="6">
        <v>100000</v>
      </c>
      <c r="R149">
        <v>2021</v>
      </c>
      <c r="S149" s="7" t="s">
        <v>47</v>
      </c>
      <c r="T149" s="7" t="s">
        <v>47</v>
      </c>
      <c r="U149" s="7" t="s">
        <v>47</v>
      </c>
      <c r="V149">
        <v>0.01</v>
      </c>
      <c r="W149" s="8" t="s">
        <v>48</v>
      </c>
      <c r="X149" t="s">
        <v>49</v>
      </c>
      <c r="Y149" s="4" t="str">
        <f>HYPERLINK("https://ssb.ee/11972663-ID/kohustused-volad-kohtulahendid","link")</f>
        <v>link</v>
      </c>
      <c r="Z149">
        <v>5250</v>
      </c>
      <c r="AA149" s="4" t="str">
        <f>HYPERLINK("https://ssb.ee/11972663-ID/finantsid-varad-prognoosid","link")</f>
        <v>link</v>
      </c>
      <c r="AB149" s="6">
        <v>120703</v>
      </c>
      <c r="AC149" s="6">
        <v>28507</v>
      </c>
      <c r="AD149" s="6">
        <v>1554906</v>
      </c>
      <c r="AE149">
        <v>7</v>
      </c>
      <c r="AF149" s="6">
        <v>3325287</v>
      </c>
      <c r="AG149" s="6">
        <v>2400</v>
      </c>
      <c r="AH149" s="4" t="str">
        <f>HYPERLINK("https://ssb.ee/11972663-ID/tootajad-palgad","link")</f>
        <v>link</v>
      </c>
      <c r="AI149" t="s">
        <v>1134</v>
      </c>
      <c r="AJ149">
        <v>0.01</v>
      </c>
      <c r="AK149" s="8" t="s">
        <v>48</v>
      </c>
      <c r="AL149" s="4" t="str">
        <f>HYPERLINK("https://ssb.ee/juhatuse-liikme-cv?id=310081","link")</f>
        <v>link</v>
      </c>
    </row>
    <row r="150" spans="1:38" x14ac:dyDescent="0.25">
      <c r="A150">
        <v>12034116</v>
      </c>
      <c r="B150" t="s">
        <v>1135</v>
      </c>
      <c r="C150" s="3">
        <v>40542</v>
      </c>
      <c r="D150" t="s">
        <v>39</v>
      </c>
      <c r="E150" t="s">
        <v>1136</v>
      </c>
      <c r="F150" s="4" t="str">
        <f>HYPERLINK("https://ssb.ee/12034116-ID/otsustajad-kasusaajad","link")</f>
        <v>link</v>
      </c>
      <c r="G150" t="s">
        <v>1137</v>
      </c>
      <c r="H150" t="s">
        <v>1138</v>
      </c>
      <c r="I150" s="4" t="str">
        <f>HYPERLINK("http://metsaregister.ee ","link")</f>
        <v>link</v>
      </c>
      <c r="J150" t="s">
        <v>155</v>
      </c>
      <c r="K150" t="s">
        <v>417</v>
      </c>
      <c r="L150" t="s">
        <v>418</v>
      </c>
      <c r="M150" s="4" t="str">
        <f>HYPERLINK("https://ssb.ee/12034116-ID/meedia-arvamuslood","link")</f>
        <v>link</v>
      </c>
      <c r="N150" t="s">
        <v>1139</v>
      </c>
      <c r="O150" s="5">
        <v>40549</v>
      </c>
      <c r="P150" t="s">
        <v>47</v>
      </c>
      <c r="Q150" s="6">
        <v>100000</v>
      </c>
      <c r="R150">
        <v>2021</v>
      </c>
      <c r="S150" s="7" t="s">
        <v>47</v>
      </c>
      <c r="T150" s="7" t="s">
        <v>47</v>
      </c>
      <c r="U150" s="7" t="s">
        <v>47</v>
      </c>
      <c r="V150">
        <v>0.01</v>
      </c>
      <c r="W150" s="8" t="s">
        <v>48</v>
      </c>
      <c r="X150" t="s">
        <v>49</v>
      </c>
      <c r="Y150" s="4" t="str">
        <f>HYPERLINK("https://ssb.ee/12034116-ID/kohustused-volad-kohtulahendid","link")</f>
        <v>link</v>
      </c>
      <c r="Z150">
        <v>3520</v>
      </c>
      <c r="AA150" s="4" t="str">
        <f>HYPERLINK("https://ssb.ee/12034116-ID/finantsid-varad-prognoosid","link")</f>
        <v>link</v>
      </c>
      <c r="AB150" s="6">
        <v>62150</v>
      </c>
      <c r="AC150" s="6">
        <v>10224</v>
      </c>
      <c r="AD150" s="6">
        <v>2058454</v>
      </c>
      <c r="AE150">
        <v>4</v>
      </c>
      <c r="AF150" s="6">
        <v>7266972</v>
      </c>
      <c r="AG150" s="6">
        <v>1615</v>
      </c>
      <c r="AH150" s="4" t="str">
        <f>HYPERLINK("https://ssb.ee/12034116-ID/tootajad-palgad","link")</f>
        <v>link</v>
      </c>
      <c r="AI150" t="s">
        <v>1140</v>
      </c>
      <c r="AJ150">
        <v>0.14000000000000001</v>
      </c>
      <c r="AK150" s="8" t="s">
        <v>48</v>
      </c>
      <c r="AL150" s="4" t="str">
        <f>HYPERLINK("https://ssb.ee/juhatuse-liikme-cv?id=346327","link")</f>
        <v>link</v>
      </c>
    </row>
    <row r="151" spans="1:38" x14ac:dyDescent="0.25">
      <c r="A151">
        <v>12201287</v>
      </c>
      <c r="B151" t="s">
        <v>1141</v>
      </c>
      <c r="C151" s="3">
        <v>40879</v>
      </c>
      <c r="D151" t="s">
        <v>39</v>
      </c>
      <c r="E151" t="s">
        <v>1142</v>
      </c>
      <c r="F151" s="4" t="str">
        <f>HYPERLINK("https://ssb.ee/12201287-ID/otsustajad-kasusaajad","link")</f>
        <v>link</v>
      </c>
      <c r="G151" t="s">
        <v>1143</v>
      </c>
      <c r="H151" t="s">
        <v>1144</v>
      </c>
      <c r="I151" s="4" t="str">
        <f>HYPERLINK("https://www.atria.fi/konserni/","link")</f>
        <v>link</v>
      </c>
      <c r="J151" t="s">
        <v>155</v>
      </c>
      <c r="K151" t="s">
        <v>1145</v>
      </c>
      <c r="L151" t="s">
        <v>1146</v>
      </c>
      <c r="M151" s="4" t="str">
        <f>HYPERLINK("https://ssb.ee/12201287-ID/meedia-arvamuslood","link")</f>
        <v>link</v>
      </c>
      <c r="N151" t="s">
        <v>1147</v>
      </c>
      <c r="O151" s="5">
        <v>40883</v>
      </c>
      <c r="P151" t="s">
        <v>47</v>
      </c>
      <c r="Q151" s="6">
        <v>100000</v>
      </c>
      <c r="R151">
        <v>2021</v>
      </c>
      <c r="S151" s="7" t="s">
        <v>47</v>
      </c>
      <c r="T151" s="7" t="s">
        <v>47</v>
      </c>
      <c r="U151" s="7" t="s">
        <v>47</v>
      </c>
      <c r="V151">
        <v>0.01</v>
      </c>
      <c r="W151" s="8" t="s">
        <v>48</v>
      </c>
      <c r="X151" t="s">
        <v>49</v>
      </c>
      <c r="Y151" s="4" t="str">
        <f>HYPERLINK("https://ssb.ee/12201287-ID/kohustused-volad-kohtulahendid","link")</f>
        <v>link</v>
      </c>
      <c r="Z151">
        <v>7890</v>
      </c>
      <c r="AA151" s="4" t="str">
        <f>HYPERLINK("https://ssb.ee/12201287-ID/finantsid-varad-prognoosid","link")</f>
        <v>link</v>
      </c>
      <c r="AB151" s="6">
        <v>101254</v>
      </c>
      <c r="AC151" s="6">
        <v>89811</v>
      </c>
      <c r="AD151" s="6">
        <v>2726673</v>
      </c>
      <c r="AE151">
        <v>42</v>
      </c>
      <c r="AF151" s="6">
        <v>11147425</v>
      </c>
      <c r="AG151" s="6">
        <v>1465</v>
      </c>
      <c r="AH151" s="4" t="str">
        <f>HYPERLINK("https://ssb.ee/12201287-ID/tootajad-palgad","link")</f>
        <v>link</v>
      </c>
      <c r="AI151" t="s">
        <v>1148</v>
      </c>
      <c r="AJ151">
        <v>0.20799999999999999</v>
      </c>
      <c r="AK151" s="9" t="s">
        <v>51</v>
      </c>
      <c r="AL151" s="4" t="str">
        <f>HYPERLINK("https://ssb.ee/juhatuse-liikme-cv?id=267346","link")</f>
        <v>link</v>
      </c>
    </row>
    <row r="152" spans="1:38" x14ac:dyDescent="0.25">
      <c r="A152">
        <v>10613620</v>
      </c>
      <c r="B152" t="s">
        <v>1149</v>
      </c>
      <c r="C152" s="3">
        <v>36488</v>
      </c>
      <c r="D152" t="s">
        <v>39</v>
      </c>
      <c r="E152" t="s">
        <v>1150</v>
      </c>
      <c r="F152" s="4" t="str">
        <f>HYPERLINK("https://ssb.ee/10613620-ID/otsustajad-kasusaajad","link")</f>
        <v>link</v>
      </c>
      <c r="G152" t="s">
        <v>1151</v>
      </c>
      <c r="H152" t="s">
        <v>1152</v>
      </c>
      <c r="I152" s="4" t="str">
        <f>HYPERLINK("https://vanden.ee/","link")</f>
        <v>link</v>
      </c>
      <c r="J152" t="s">
        <v>62</v>
      </c>
      <c r="K152" t="s">
        <v>1153</v>
      </c>
      <c r="L152" t="s">
        <v>1154</v>
      </c>
      <c r="M152" s="4" t="str">
        <f>HYPERLINK("https://ssb.ee/10613620-ID/meedia-arvamuslood","link")</f>
        <v>link</v>
      </c>
      <c r="N152" t="s">
        <v>1155</v>
      </c>
      <c r="O152" s="5">
        <v>36586</v>
      </c>
      <c r="P152" t="s">
        <v>1156</v>
      </c>
      <c r="Q152" s="6">
        <v>3700</v>
      </c>
      <c r="R152">
        <v>2021</v>
      </c>
      <c r="S152" s="7" t="s">
        <v>47</v>
      </c>
      <c r="T152" s="7" t="s">
        <v>47</v>
      </c>
      <c r="U152" s="7" t="s">
        <v>47</v>
      </c>
      <c r="V152">
        <v>0.01</v>
      </c>
      <c r="W152" s="8" t="s">
        <v>48</v>
      </c>
      <c r="X152" t="s">
        <v>49</v>
      </c>
      <c r="Y152" s="4" t="str">
        <f>HYPERLINK("https://ssb.ee/10613620-ID/kohustused-volad-kohtulahendid","link")</f>
        <v>link</v>
      </c>
      <c r="Z152">
        <v>2390</v>
      </c>
      <c r="AA152" s="4" t="str">
        <f>HYPERLINK("https://ssb.ee/10613620-ID/finantsid-varad-prognoosid","link")</f>
        <v>link</v>
      </c>
      <c r="AB152" s="6">
        <v>31618</v>
      </c>
      <c r="AC152" s="6">
        <v>24236</v>
      </c>
      <c r="AD152" s="6" t="s">
        <v>47</v>
      </c>
      <c r="AE152">
        <v>5</v>
      </c>
      <c r="AF152" s="6">
        <v>630642</v>
      </c>
      <c r="AG152" s="6">
        <v>2855</v>
      </c>
      <c r="AH152" s="4" t="str">
        <f>HYPERLINK("https://ssb.ee/10613620-ID/tootajad-palgad","link")</f>
        <v>link</v>
      </c>
      <c r="AI152" t="s">
        <v>1157</v>
      </c>
      <c r="AJ152">
        <v>0.25700000000000001</v>
      </c>
      <c r="AK152" s="9" t="s">
        <v>51</v>
      </c>
      <c r="AL152" s="4" t="str">
        <f>HYPERLINK("https://ssb.ee/juhatuse-liikme-cv?id=308093","link")</f>
        <v>link</v>
      </c>
    </row>
    <row r="153" spans="1:38" x14ac:dyDescent="0.25">
      <c r="A153">
        <v>14494477</v>
      </c>
      <c r="B153" t="s">
        <v>1158</v>
      </c>
      <c r="C153" s="3">
        <v>43244</v>
      </c>
      <c r="D153" t="s">
        <v>39</v>
      </c>
      <c r="E153" t="s">
        <v>1159</v>
      </c>
      <c r="F153" s="4" t="str">
        <f>HYPERLINK("https://ssb.ee/14494477-ID/otsustajad-kasusaajad","link")</f>
        <v>link</v>
      </c>
      <c r="G153" t="s">
        <v>1160</v>
      </c>
      <c r="H153" t="s">
        <v>1161</v>
      </c>
      <c r="I153" s="4" t="str">
        <f>HYPERLINK("http://bassadone.fi","link")</f>
        <v>link</v>
      </c>
      <c r="J153" t="s">
        <v>62</v>
      </c>
      <c r="K153" t="s">
        <v>212</v>
      </c>
      <c r="L153" t="s">
        <v>213</v>
      </c>
      <c r="M153" s="4" t="str">
        <f>HYPERLINK("https://ssb.ee/14494477-ID/meedia-arvamuslood","link")</f>
        <v>link</v>
      </c>
      <c r="N153" t="s">
        <v>1162</v>
      </c>
      <c r="O153" s="5">
        <v>44470</v>
      </c>
      <c r="P153" t="s">
        <v>47</v>
      </c>
      <c r="Q153" s="6">
        <v>23700</v>
      </c>
      <c r="R153">
        <v>2021</v>
      </c>
      <c r="S153" s="7" t="s">
        <v>47</v>
      </c>
      <c r="T153" s="7" t="s">
        <v>47</v>
      </c>
      <c r="U153" s="7" t="s">
        <v>47</v>
      </c>
      <c r="V153">
        <v>0.01</v>
      </c>
      <c r="W153" s="8" t="s">
        <v>48</v>
      </c>
      <c r="X153" t="s">
        <v>49</v>
      </c>
      <c r="Y153" s="4" t="str">
        <f>HYPERLINK("https://ssb.ee/14494477-ID/kohustused-volad-kohtulahendid","link")</f>
        <v>link</v>
      </c>
      <c r="Z153">
        <v>3250</v>
      </c>
      <c r="AA153" s="4" t="str">
        <f>HYPERLINK("https://ssb.ee/14494477-ID/finantsid-varad-prognoosid","link")</f>
        <v>link</v>
      </c>
      <c r="AB153" s="6">
        <v>63081</v>
      </c>
      <c r="AC153" s="6">
        <v>66049</v>
      </c>
      <c r="AD153" s="6">
        <v>226491</v>
      </c>
      <c r="AE153">
        <v>10</v>
      </c>
      <c r="AF153" s="6">
        <v>792526</v>
      </c>
      <c r="AG153" s="6">
        <v>3890</v>
      </c>
      <c r="AH153" s="4" t="str">
        <f>HYPERLINK("https://ssb.ee/14494477-ID/tootajad-palgad","link")</f>
        <v>link</v>
      </c>
      <c r="AI153" t="s">
        <v>1163</v>
      </c>
      <c r="AJ153">
        <v>0.01</v>
      </c>
      <c r="AK153" s="8" t="s">
        <v>48</v>
      </c>
      <c r="AL153" s="4" t="str">
        <f>HYPERLINK("https://ssb.ee/juhatuse-liikme-cv?id=2102185","link")</f>
        <v>link</v>
      </c>
    </row>
    <row r="154" spans="1:38" x14ac:dyDescent="0.25">
      <c r="A154">
        <v>10020239</v>
      </c>
      <c r="B154" t="s">
        <v>1164</v>
      </c>
      <c r="C154" s="3">
        <v>34335</v>
      </c>
      <c r="D154" t="s">
        <v>39</v>
      </c>
      <c r="E154" t="s">
        <v>1165</v>
      </c>
      <c r="F154" s="4" t="str">
        <f>HYPERLINK("https://ssb.ee/10020239-ID/otsustajad-kasusaajad","link")</f>
        <v>link</v>
      </c>
      <c r="G154" t="s">
        <v>1166</v>
      </c>
      <c r="H154" t="s">
        <v>1167</v>
      </c>
      <c r="I154" s="4" t="str">
        <f>HYPERLINK("http://vilde.eu ","link")</f>
        <v>link</v>
      </c>
      <c r="J154" t="s">
        <v>81</v>
      </c>
      <c r="K154" t="s">
        <v>264</v>
      </c>
      <c r="L154" t="s">
        <v>265</v>
      </c>
      <c r="M154" s="4" t="str">
        <f>HYPERLINK("https://ssb.ee/10020239-ID/meedia-arvamuslood","link")</f>
        <v>link</v>
      </c>
      <c r="N154" t="s">
        <v>1168</v>
      </c>
      <c r="O154" s="5">
        <v>34335</v>
      </c>
      <c r="P154" t="s">
        <v>47</v>
      </c>
      <c r="Q154" s="6">
        <v>44700</v>
      </c>
      <c r="R154">
        <v>2021</v>
      </c>
      <c r="S154" s="7" t="s">
        <v>47</v>
      </c>
      <c r="T154" s="7" t="s">
        <v>47</v>
      </c>
      <c r="U154" s="7" t="s">
        <v>47</v>
      </c>
      <c r="V154">
        <v>0.01</v>
      </c>
      <c r="W154" s="8" t="s">
        <v>48</v>
      </c>
      <c r="X154" t="s">
        <v>49</v>
      </c>
      <c r="Y154" s="4" t="str">
        <f>HYPERLINK("https://ssb.ee/10020239-ID/kohustused-volad-kohtulahendid","link")</f>
        <v>link</v>
      </c>
      <c r="Z154">
        <v>3360</v>
      </c>
      <c r="AA154" s="4" t="str">
        <f>HYPERLINK("https://ssb.ee/10020239-ID/finantsid-varad-prognoosid","link")</f>
        <v>link</v>
      </c>
      <c r="AB154" s="6">
        <v>38015</v>
      </c>
      <c r="AC154" s="6">
        <v>23274</v>
      </c>
      <c r="AD154" s="6">
        <v>609595</v>
      </c>
      <c r="AE154">
        <v>18</v>
      </c>
      <c r="AF154" s="6">
        <v>2213541</v>
      </c>
      <c r="AG154" s="6">
        <v>975</v>
      </c>
      <c r="AH154" s="4" t="str">
        <f>HYPERLINK("https://ssb.ee/10020239-ID/tootajad-palgad","link")</f>
        <v>link</v>
      </c>
      <c r="AI154" t="s">
        <v>1169</v>
      </c>
      <c r="AJ154">
        <v>0.01</v>
      </c>
      <c r="AK154" s="8" t="s">
        <v>48</v>
      </c>
      <c r="AL154" s="4" t="str">
        <f>HYPERLINK("https://ssb.ee/juhatuse-liikme-cv?id=367626","link")</f>
        <v>link</v>
      </c>
    </row>
    <row r="155" spans="1:38" x14ac:dyDescent="0.25">
      <c r="A155">
        <v>10171895</v>
      </c>
      <c r="B155" t="s">
        <v>1170</v>
      </c>
      <c r="C155" s="3">
        <v>34335</v>
      </c>
      <c r="D155" t="s">
        <v>39</v>
      </c>
      <c r="E155" t="s">
        <v>1171</v>
      </c>
      <c r="F155" s="4" t="str">
        <f>HYPERLINK("https://ssb.ee/10171895-ID/otsustajad-kasusaajad","link")</f>
        <v>link</v>
      </c>
      <c r="G155" t="s">
        <v>1172</v>
      </c>
      <c r="H155" t="s">
        <v>1173</v>
      </c>
      <c r="I155" s="4" t="str">
        <f>HYPERLINK("http://heelix.ee","link")</f>
        <v>link</v>
      </c>
      <c r="J155" t="s">
        <v>81</v>
      </c>
      <c r="K155" t="s">
        <v>264</v>
      </c>
      <c r="L155" t="s">
        <v>265</v>
      </c>
      <c r="M155" s="4" t="str">
        <f>HYPERLINK("https://ssb.ee/10171895-ID/meedia-arvamuslood","link")</f>
        <v>link</v>
      </c>
      <c r="N155" t="s">
        <v>1174</v>
      </c>
      <c r="O155" s="5">
        <v>34335</v>
      </c>
      <c r="P155" t="s">
        <v>47</v>
      </c>
      <c r="Q155" s="6">
        <v>24800</v>
      </c>
      <c r="R155">
        <v>2021</v>
      </c>
      <c r="S155" s="7" t="s">
        <v>47</v>
      </c>
      <c r="T155" s="7" t="s">
        <v>47</v>
      </c>
      <c r="U155" s="7" t="s">
        <v>47</v>
      </c>
      <c r="V155">
        <v>0.01</v>
      </c>
      <c r="W155" s="8" t="s">
        <v>48</v>
      </c>
      <c r="X155" t="s">
        <v>49</v>
      </c>
      <c r="Y155" s="4" t="str">
        <f>HYPERLINK("https://ssb.ee/10171895-ID/kohustused-volad-kohtulahendid","link")</f>
        <v>link</v>
      </c>
      <c r="Z155">
        <v>2900</v>
      </c>
      <c r="AA155" s="4" t="str">
        <f>HYPERLINK("https://ssb.ee/10171895-ID/finantsid-varad-prognoosid","link")</f>
        <v>link</v>
      </c>
      <c r="AB155" s="6">
        <v>34899</v>
      </c>
      <c r="AC155" s="6">
        <v>16895</v>
      </c>
      <c r="AD155" s="6">
        <v>320303</v>
      </c>
      <c r="AE155">
        <v>12</v>
      </c>
      <c r="AF155" s="6">
        <v>1009935</v>
      </c>
      <c r="AG155" s="6">
        <v>1040</v>
      </c>
      <c r="AH155" s="4" t="str">
        <f>HYPERLINK("https://ssb.ee/10171895-ID/tootajad-palgad","link")</f>
        <v>link</v>
      </c>
      <c r="AI155" t="s">
        <v>1175</v>
      </c>
      <c r="AJ155">
        <v>0.01</v>
      </c>
      <c r="AK155" s="8" t="s">
        <v>48</v>
      </c>
      <c r="AL155" s="4" t="str">
        <f>HYPERLINK("https://ssb.ee/juhatuse-liikme-cv?id=310656","link")</f>
        <v>link</v>
      </c>
    </row>
    <row r="156" spans="1:38" x14ac:dyDescent="0.25">
      <c r="A156">
        <v>12662462</v>
      </c>
      <c r="B156" t="s">
        <v>1176</v>
      </c>
      <c r="C156" s="3">
        <v>41775</v>
      </c>
      <c r="D156" t="s">
        <v>39</v>
      </c>
      <c r="E156" t="s">
        <v>1177</v>
      </c>
      <c r="F156" s="4" t="str">
        <f>HYPERLINK("https://ssb.ee/12662462-ID/otsustajad-kasusaajad","link")</f>
        <v>link</v>
      </c>
      <c r="G156" t="s">
        <v>1178</v>
      </c>
      <c r="H156" t="s">
        <v>1179</v>
      </c>
      <c r="I156" s="4" t="str">
        <f>HYPERLINK("http://onlineonly.com","link")</f>
        <v>link</v>
      </c>
      <c r="J156" t="s">
        <v>201</v>
      </c>
      <c r="K156" t="s">
        <v>379</v>
      </c>
      <c r="L156" t="s">
        <v>380</v>
      </c>
      <c r="M156" s="4" t="str">
        <f>HYPERLINK("https://ssb.ee/12662462-ID/meedia-arvamuslood","link")</f>
        <v>link</v>
      </c>
      <c r="N156" t="s">
        <v>1180</v>
      </c>
      <c r="O156" s="5">
        <v>41798</v>
      </c>
      <c r="P156" t="s">
        <v>47</v>
      </c>
      <c r="Q156" s="6">
        <v>31700</v>
      </c>
      <c r="R156">
        <v>2021</v>
      </c>
      <c r="S156" s="7" t="s">
        <v>47</v>
      </c>
      <c r="T156" s="7" t="s">
        <v>47</v>
      </c>
      <c r="U156" s="7" t="s">
        <v>47</v>
      </c>
      <c r="V156">
        <v>0.01</v>
      </c>
      <c r="W156" s="8" t="s">
        <v>48</v>
      </c>
      <c r="X156" t="s">
        <v>49</v>
      </c>
      <c r="Y156" s="4" t="str">
        <f>HYPERLINK("https://ssb.ee/12662462-ID/kohustused-volad-kohtulahendid","link")</f>
        <v>link</v>
      </c>
      <c r="Z156">
        <v>6390</v>
      </c>
      <c r="AA156" s="4" t="str">
        <f>HYPERLINK("https://ssb.ee/12662462-ID/finantsid-varad-prognoosid","link")</f>
        <v>link</v>
      </c>
      <c r="AB156" s="6">
        <v>32819</v>
      </c>
      <c r="AC156" s="6">
        <v>27465</v>
      </c>
      <c r="AD156" s="6">
        <v>414933</v>
      </c>
      <c r="AE156">
        <v>3</v>
      </c>
      <c r="AF156" s="6">
        <v>896514</v>
      </c>
      <c r="AG156" s="6">
        <v>5380</v>
      </c>
      <c r="AH156" s="4" t="str">
        <f>HYPERLINK("https://ssb.ee/12662462-ID/tootajad-palgad","link")</f>
        <v>link</v>
      </c>
      <c r="AI156" t="s">
        <v>1181</v>
      </c>
      <c r="AJ156">
        <v>0.01</v>
      </c>
      <c r="AK156" s="8" t="s">
        <v>48</v>
      </c>
      <c r="AL156" s="4" t="str">
        <f>HYPERLINK("https://ssb.ee/juhatuse-liikme-cv?id=515570","link")</f>
        <v>link</v>
      </c>
    </row>
    <row r="157" spans="1:38" x14ac:dyDescent="0.25">
      <c r="A157">
        <v>12235317</v>
      </c>
      <c r="B157" t="s">
        <v>1182</v>
      </c>
      <c r="C157" s="3">
        <v>40953</v>
      </c>
      <c r="D157" t="s">
        <v>39</v>
      </c>
      <c r="E157" t="s">
        <v>1183</v>
      </c>
      <c r="F157" s="4" t="str">
        <f>HYPERLINK("https://ssb.ee/12235317-ID/otsustajad-kasusaajad","link")</f>
        <v>link</v>
      </c>
      <c r="G157" t="s">
        <v>1184</v>
      </c>
      <c r="H157" t="s">
        <v>1185</v>
      </c>
      <c r="I157" s="4" t="str">
        <f>HYPERLINK("https://oundrinks.com/","link")</f>
        <v>link</v>
      </c>
      <c r="J157" t="s">
        <v>196</v>
      </c>
      <c r="K157" t="s">
        <v>1186</v>
      </c>
      <c r="L157" t="s">
        <v>1187</v>
      </c>
      <c r="M157" s="4" t="str">
        <f>HYPERLINK("https://ssb.ee/12235317-ID/meedia-arvamuslood","link")</f>
        <v>link</v>
      </c>
      <c r="N157" t="s">
        <v>1188</v>
      </c>
      <c r="O157" s="5">
        <v>41176</v>
      </c>
      <c r="P157" t="s">
        <v>47</v>
      </c>
      <c r="Q157" s="6">
        <v>59100</v>
      </c>
      <c r="R157">
        <v>2021</v>
      </c>
      <c r="S157" s="7" t="s">
        <v>47</v>
      </c>
      <c r="T157" s="7" t="s">
        <v>47</v>
      </c>
      <c r="U157" s="7" t="s">
        <v>47</v>
      </c>
      <c r="V157">
        <v>0.01</v>
      </c>
      <c r="W157" s="8" t="s">
        <v>48</v>
      </c>
      <c r="X157" t="s">
        <v>49</v>
      </c>
      <c r="Y157" s="4" t="str">
        <f>HYPERLINK("https://ssb.ee/12235317-ID/kohustused-volad-kohtulahendid","link")</f>
        <v>link</v>
      </c>
      <c r="Z157">
        <v>3110</v>
      </c>
      <c r="AA157" s="4" t="str">
        <f>HYPERLINK("https://ssb.ee/12235317-ID/finantsid-varad-prognoosid","link")</f>
        <v>link</v>
      </c>
      <c r="AB157" s="6">
        <v>31131</v>
      </c>
      <c r="AC157" s="6">
        <v>30550</v>
      </c>
      <c r="AD157" s="6">
        <v>824995</v>
      </c>
      <c r="AE157">
        <v>14</v>
      </c>
      <c r="AF157" s="6">
        <v>1549868</v>
      </c>
      <c r="AG157" s="6">
        <v>1465</v>
      </c>
      <c r="AH157" s="4" t="str">
        <f>HYPERLINK("https://ssb.ee/12235317-ID/tootajad-palgad","link")</f>
        <v>link</v>
      </c>
      <c r="AI157" t="s">
        <v>1189</v>
      </c>
      <c r="AJ157">
        <v>0.24399999999999999</v>
      </c>
      <c r="AK157" s="9" t="s">
        <v>51</v>
      </c>
      <c r="AL157" s="4" t="str">
        <f>HYPERLINK("https://ssb.ee/juhatuse-liikme-cv?id=377272","link")</f>
        <v>link</v>
      </c>
    </row>
    <row r="158" spans="1:38" x14ac:dyDescent="0.25">
      <c r="A158">
        <v>10094858</v>
      </c>
      <c r="B158" t="s">
        <v>1190</v>
      </c>
      <c r="C158" s="3">
        <v>35593</v>
      </c>
      <c r="D158" t="s">
        <v>39</v>
      </c>
      <c r="E158" t="s">
        <v>1191</v>
      </c>
      <c r="F158" s="4" t="str">
        <f>HYPERLINK("https://ssb.ee/10094858-ID/otsustajad-kasusaajad","link")</f>
        <v>link</v>
      </c>
      <c r="G158" t="s">
        <v>1192</v>
      </c>
      <c r="H158" t="s">
        <v>1193</v>
      </c>
      <c r="I158" s="4" t="str">
        <f>HYPERLINK("https://www.kaubaekspress.ee/","link")</f>
        <v>link</v>
      </c>
      <c r="J158" t="s">
        <v>81</v>
      </c>
      <c r="K158" t="s">
        <v>82</v>
      </c>
      <c r="L158" t="s">
        <v>83</v>
      </c>
      <c r="M158" s="4" t="str">
        <f>HYPERLINK("https://ssb.ee/10094858-ID/meedia-arvamuslood","link")</f>
        <v>link</v>
      </c>
      <c r="N158" t="s">
        <v>1194</v>
      </c>
      <c r="O158" s="5">
        <v>34335</v>
      </c>
      <c r="P158" t="s">
        <v>47</v>
      </c>
      <c r="Q158" s="6">
        <v>78800</v>
      </c>
      <c r="R158">
        <v>2021</v>
      </c>
      <c r="S158" s="7" t="s">
        <v>47</v>
      </c>
      <c r="T158" s="7" t="s">
        <v>47</v>
      </c>
      <c r="U158" s="7" t="s">
        <v>47</v>
      </c>
      <c r="V158">
        <v>0.01</v>
      </c>
      <c r="W158" s="8" t="s">
        <v>48</v>
      </c>
      <c r="X158" t="s">
        <v>49</v>
      </c>
      <c r="Y158" s="4" t="str">
        <f>HYPERLINK("https://ssb.ee/10094858-ID/kohustused-volad-kohtulahendid","link")</f>
        <v>link</v>
      </c>
      <c r="Z158">
        <v>6470</v>
      </c>
      <c r="AA158" s="4" t="str">
        <f>HYPERLINK("https://ssb.ee/10094858-ID/finantsid-varad-prognoosid","link")</f>
        <v>link</v>
      </c>
      <c r="AB158" s="6">
        <v>89210</v>
      </c>
      <c r="AC158" s="6">
        <v>68442</v>
      </c>
      <c r="AD158" s="6">
        <v>1024856</v>
      </c>
      <c r="AE158">
        <v>29</v>
      </c>
      <c r="AF158" s="6">
        <v>3444674</v>
      </c>
      <c r="AG158" s="6">
        <v>1540</v>
      </c>
      <c r="AH158" s="4" t="str">
        <f>HYPERLINK("https://ssb.ee/10094858-ID/tootajad-palgad","link")</f>
        <v>link</v>
      </c>
      <c r="AI158" t="s">
        <v>1195</v>
      </c>
      <c r="AJ158">
        <v>7.0000000000000001E-3</v>
      </c>
      <c r="AK158" s="8" t="s">
        <v>48</v>
      </c>
      <c r="AL158" s="4" t="str">
        <f>HYPERLINK("https://ssb.ee/juhatuse-liikme-cv?id=1243391","link")</f>
        <v>link</v>
      </c>
    </row>
    <row r="159" spans="1:38" x14ac:dyDescent="0.25">
      <c r="A159">
        <v>10034023</v>
      </c>
      <c r="B159" t="s">
        <v>1196</v>
      </c>
      <c r="C159" s="3">
        <v>35187</v>
      </c>
      <c r="D159" t="s">
        <v>39</v>
      </c>
      <c r="E159" t="s">
        <v>1197</v>
      </c>
      <c r="F159" s="4" t="str">
        <f>HYPERLINK("https://ssb.ee/10034023-ID/otsustajad-kasusaajad","link")</f>
        <v>link</v>
      </c>
      <c r="G159" t="s">
        <v>1198</v>
      </c>
      <c r="H159" t="s">
        <v>1199</v>
      </c>
      <c r="I159" s="4" t="str">
        <f>HYPERLINK("http://berryglobal.com ","link")</f>
        <v>link</v>
      </c>
      <c r="J159" t="s">
        <v>196</v>
      </c>
      <c r="K159" t="s">
        <v>1200</v>
      </c>
      <c r="L159" t="s">
        <v>1201</v>
      </c>
      <c r="M159" s="4" t="str">
        <f>HYPERLINK("https://ssb.ee/10034023-ID/meedia-arvamuslood","link")</f>
        <v>link</v>
      </c>
      <c r="N159" t="s">
        <v>1202</v>
      </c>
      <c r="O159" s="5">
        <v>34335</v>
      </c>
      <c r="P159" t="s">
        <v>47</v>
      </c>
      <c r="Q159" s="6">
        <v>100000</v>
      </c>
      <c r="R159">
        <v>2020</v>
      </c>
      <c r="S159" s="7" t="s">
        <v>47</v>
      </c>
      <c r="T159" s="7" t="s">
        <v>47</v>
      </c>
      <c r="U159" s="7" t="s">
        <v>47</v>
      </c>
      <c r="V159">
        <v>0.01</v>
      </c>
      <c r="W159" s="8" t="s">
        <v>48</v>
      </c>
      <c r="X159" t="s">
        <v>49</v>
      </c>
      <c r="Y159" s="4" t="str">
        <f>HYPERLINK("https://ssb.ee/10034023-ID/kohustused-volad-kohtulahendid","link")</f>
        <v>link</v>
      </c>
      <c r="Z159">
        <v>20140</v>
      </c>
      <c r="AA159" s="4" t="str">
        <f>HYPERLINK("https://ssb.ee/10034023-ID/finantsid-varad-prognoosid","link")</f>
        <v>link</v>
      </c>
      <c r="AB159" s="6">
        <v>425279</v>
      </c>
      <c r="AC159" s="6">
        <v>454283</v>
      </c>
      <c r="AD159" s="6">
        <v>8846988</v>
      </c>
      <c r="AE159">
        <v>229</v>
      </c>
      <c r="AF159" s="6">
        <v>32137372</v>
      </c>
      <c r="AG159" s="6">
        <v>1390</v>
      </c>
      <c r="AH159" s="4" t="str">
        <f>HYPERLINK("https://ssb.ee/10034023-ID/tootajad-palgad","link")</f>
        <v>link</v>
      </c>
      <c r="AI159" t="s">
        <v>1203</v>
      </c>
      <c r="AJ159">
        <v>0.01</v>
      </c>
      <c r="AK159" s="8" t="s">
        <v>48</v>
      </c>
      <c r="AL159" s="4" t="str">
        <f>HYPERLINK("https://ssb.ee/juhatuse-liikme-cv?id=370088","link")</f>
        <v>link</v>
      </c>
    </row>
    <row r="160" spans="1:38" x14ac:dyDescent="0.25">
      <c r="A160">
        <v>11402003</v>
      </c>
      <c r="B160" t="s">
        <v>1204</v>
      </c>
      <c r="C160" s="3">
        <v>39269</v>
      </c>
      <c r="D160" t="s">
        <v>39</v>
      </c>
      <c r="E160" t="s">
        <v>1205</v>
      </c>
      <c r="F160" s="4" t="str">
        <f>HYPERLINK("https://ssb.ee/11402003-ID/otsustajad-kasusaajad","link")</f>
        <v>link</v>
      </c>
      <c r="G160" t="s">
        <v>1206</v>
      </c>
      <c r="H160" t="s">
        <v>1207</v>
      </c>
      <c r="I160" s="4" t="str">
        <f>HYPERLINK("https://show.ee/ ","link")</f>
        <v>link</v>
      </c>
      <c r="J160" t="s">
        <v>228</v>
      </c>
      <c r="K160" t="s">
        <v>1208</v>
      </c>
      <c r="L160" t="s">
        <v>1209</v>
      </c>
      <c r="M160" s="4" t="str">
        <f>HYPERLINK("https://ssb.ee/11402003-ID/meedia-arvamuslood","link")</f>
        <v>link</v>
      </c>
      <c r="N160" t="s">
        <v>1210</v>
      </c>
      <c r="O160" s="5">
        <v>39289</v>
      </c>
      <c r="P160" t="s">
        <v>47</v>
      </c>
      <c r="Q160" s="6">
        <v>11300</v>
      </c>
      <c r="R160">
        <v>2021</v>
      </c>
      <c r="S160" s="7" t="s">
        <v>47</v>
      </c>
      <c r="T160" s="7" t="s">
        <v>47</v>
      </c>
      <c r="U160" s="7" t="s">
        <v>47</v>
      </c>
      <c r="V160">
        <v>0.01</v>
      </c>
      <c r="W160" s="8" t="s">
        <v>48</v>
      </c>
      <c r="X160" t="s">
        <v>49</v>
      </c>
      <c r="Y160" s="4" t="str">
        <f>HYPERLINK("https://ssb.ee/11402003-ID/kohustused-volad-kohtulahendid","link")</f>
        <v>link</v>
      </c>
      <c r="Z160">
        <v>1900</v>
      </c>
      <c r="AA160" s="4" t="str">
        <f>HYPERLINK("https://ssb.ee/11402003-ID/finantsid-varad-prognoosid","link")</f>
        <v>link</v>
      </c>
      <c r="AB160" s="6">
        <v>34396</v>
      </c>
      <c r="AC160" s="6">
        <v>21746</v>
      </c>
      <c r="AD160" s="6">
        <v>113929</v>
      </c>
      <c r="AE160">
        <v>13</v>
      </c>
      <c r="AF160" s="6">
        <v>528406</v>
      </c>
      <c r="AG160" s="6">
        <v>1170</v>
      </c>
      <c r="AH160" s="4" t="str">
        <f>HYPERLINK("https://ssb.ee/11402003-ID/tootajad-palgad","link")</f>
        <v>link</v>
      </c>
      <c r="AI160" t="s">
        <v>1211</v>
      </c>
      <c r="AJ160">
        <v>0.01</v>
      </c>
      <c r="AK160" s="8" t="s">
        <v>48</v>
      </c>
      <c r="AL160" s="4" t="str">
        <f>HYPERLINK("https://ssb.ee/juhatuse-liikme-cv?id=370476","link")</f>
        <v>link</v>
      </c>
    </row>
  </sheetData>
  <autoFilter ref="A1:AL160" xr:uid="{00000000-0009-0000-0000-000000000000}">
    <sortState xmlns:xlrd2="http://schemas.microsoft.com/office/spreadsheetml/2017/richdata2" ref="A2:AL160">
      <sortCondition descending="1" ref="I1:I160"/>
    </sortState>
  </autoFilter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8"/>
  <sheetViews>
    <sheetView workbookViewId="0">
      <pane xSplit="2" ySplit="1" topLeftCell="C2" activePane="bottomRight" state="frozen"/>
      <selection pane="topRight"/>
      <selection pane="bottomLeft"/>
      <selection pane="bottomRight" activeCell="C2" sqref="C2"/>
    </sheetView>
  </sheetViews>
  <sheetFormatPr defaultRowHeight="15" x14ac:dyDescent="0.25"/>
  <cols>
    <col min="1" max="1" width="13.42578125" customWidth="1"/>
    <col min="2" max="5" width="25" customWidth="1"/>
    <col min="6" max="6" width="38.7109375" customWidth="1"/>
  </cols>
  <sheetData>
    <row r="1" spans="1:6" ht="60" customHeight="1" x14ac:dyDescent="0.25">
      <c r="A1" s="1" t="s">
        <v>0</v>
      </c>
      <c r="B1" s="1" t="s">
        <v>1</v>
      </c>
      <c r="C1" s="1" t="s">
        <v>1218</v>
      </c>
      <c r="D1" s="1" t="s">
        <v>1219</v>
      </c>
      <c r="E1" s="1" t="s">
        <v>6</v>
      </c>
      <c r="F1" s="1" t="s">
        <v>7</v>
      </c>
    </row>
    <row r="2" spans="1:6" x14ac:dyDescent="0.25">
      <c r="A2">
        <v>12075701</v>
      </c>
      <c r="B2" t="s">
        <v>459</v>
      </c>
      <c r="C2" t="s">
        <v>1257</v>
      </c>
      <c r="D2" t="s">
        <v>1220</v>
      </c>
      <c r="E2" t="s">
        <v>1258</v>
      </c>
      <c r="F2" t="s">
        <v>47</v>
      </c>
    </row>
    <row r="3" spans="1:6" x14ac:dyDescent="0.25">
      <c r="A3">
        <v>75008953</v>
      </c>
      <c r="B3" t="s">
        <v>224</v>
      </c>
      <c r="C3" t="s">
        <v>1238</v>
      </c>
      <c r="D3" t="s">
        <v>1239</v>
      </c>
      <c r="E3" t="s">
        <v>1240</v>
      </c>
      <c r="F3" t="s">
        <v>1241</v>
      </c>
    </row>
    <row r="4" spans="1:6" x14ac:dyDescent="0.25">
      <c r="A4">
        <v>75008953</v>
      </c>
      <c r="B4" t="s">
        <v>224</v>
      </c>
      <c r="C4" t="s">
        <v>1242</v>
      </c>
      <c r="D4" t="s">
        <v>1239</v>
      </c>
      <c r="E4" t="s">
        <v>47</v>
      </c>
      <c r="F4" t="s">
        <v>1243</v>
      </c>
    </row>
    <row r="5" spans="1:6" x14ac:dyDescent="0.25">
      <c r="A5">
        <v>10683307</v>
      </c>
      <c r="B5" t="s">
        <v>875</v>
      </c>
      <c r="C5" t="s">
        <v>880</v>
      </c>
      <c r="D5" t="s">
        <v>1220</v>
      </c>
      <c r="E5" t="s">
        <v>1303</v>
      </c>
      <c r="F5" t="s">
        <v>1304</v>
      </c>
    </row>
    <row r="6" spans="1:6" x14ac:dyDescent="0.25">
      <c r="A6">
        <v>80132187</v>
      </c>
      <c r="B6" t="s">
        <v>790</v>
      </c>
      <c r="C6" t="s">
        <v>1213</v>
      </c>
      <c r="D6" t="s">
        <v>1220</v>
      </c>
      <c r="E6" t="s">
        <v>1293</v>
      </c>
      <c r="F6" t="s">
        <v>1294</v>
      </c>
    </row>
    <row r="7" spans="1:6" x14ac:dyDescent="0.25">
      <c r="A7">
        <v>12235317</v>
      </c>
      <c r="B7" t="s">
        <v>1182</v>
      </c>
      <c r="C7" t="s">
        <v>1189</v>
      </c>
      <c r="D7" t="s">
        <v>1220</v>
      </c>
      <c r="E7" t="s">
        <v>1350</v>
      </c>
      <c r="F7" t="s">
        <v>1351</v>
      </c>
    </row>
    <row r="8" spans="1:6" x14ac:dyDescent="0.25">
      <c r="A8">
        <v>10000573</v>
      </c>
      <c r="B8" t="s">
        <v>525</v>
      </c>
      <c r="C8" t="s">
        <v>1268</v>
      </c>
      <c r="D8" t="s">
        <v>1267</v>
      </c>
      <c r="E8" t="s">
        <v>1269</v>
      </c>
      <c r="F8" t="s">
        <v>1270</v>
      </c>
    </row>
    <row r="9" spans="1:6" x14ac:dyDescent="0.25">
      <c r="A9">
        <v>75008953</v>
      </c>
      <c r="B9" t="s">
        <v>224</v>
      </c>
      <c r="C9" t="s">
        <v>1217</v>
      </c>
      <c r="D9" t="s">
        <v>1232</v>
      </c>
      <c r="E9" t="s">
        <v>1233</v>
      </c>
      <c r="F9" t="s">
        <v>1234</v>
      </c>
    </row>
    <row r="10" spans="1:6" x14ac:dyDescent="0.25">
      <c r="A10">
        <v>10208011</v>
      </c>
      <c r="B10" t="s">
        <v>77</v>
      </c>
      <c r="C10" t="s">
        <v>1223</v>
      </c>
      <c r="D10" t="s">
        <v>1220</v>
      </c>
      <c r="E10" t="s">
        <v>1224</v>
      </c>
      <c r="F10" t="s">
        <v>1225</v>
      </c>
    </row>
    <row r="11" spans="1:6" x14ac:dyDescent="0.25">
      <c r="A11">
        <v>10372286</v>
      </c>
      <c r="B11" t="s">
        <v>827</v>
      </c>
      <c r="C11" t="s">
        <v>832</v>
      </c>
      <c r="D11" t="s">
        <v>1220</v>
      </c>
      <c r="E11" t="s">
        <v>1296</v>
      </c>
      <c r="F11" t="s">
        <v>1297</v>
      </c>
    </row>
    <row r="12" spans="1:6" x14ac:dyDescent="0.25">
      <c r="A12">
        <v>14315718</v>
      </c>
      <c r="B12" t="s">
        <v>1045</v>
      </c>
      <c r="C12" t="s">
        <v>1050</v>
      </c>
      <c r="D12" t="s">
        <v>1220</v>
      </c>
      <c r="E12" t="s">
        <v>1329</v>
      </c>
      <c r="F12" t="s">
        <v>1330</v>
      </c>
    </row>
    <row r="13" spans="1:6" x14ac:dyDescent="0.25">
      <c r="A13">
        <v>10449400</v>
      </c>
      <c r="B13" t="s">
        <v>1071</v>
      </c>
      <c r="C13" t="s">
        <v>1078</v>
      </c>
      <c r="D13" t="s">
        <v>1220</v>
      </c>
      <c r="E13" t="s">
        <v>1333</v>
      </c>
      <c r="F13" t="s">
        <v>1334</v>
      </c>
    </row>
    <row r="14" spans="1:6" x14ac:dyDescent="0.25">
      <c r="A14">
        <v>10088763</v>
      </c>
      <c r="B14" t="s">
        <v>331</v>
      </c>
      <c r="C14" t="s">
        <v>338</v>
      </c>
      <c r="D14" t="s">
        <v>1220</v>
      </c>
      <c r="E14" t="s">
        <v>1250</v>
      </c>
      <c r="F14" t="s">
        <v>1251</v>
      </c>
    </row>
    <row r="15" spans="1:6" x14ac:dyDescent="0.25">
      <c r="A15">
        <v>12543543</v>
      </c>
      <c r="B15" t="s">
        <v>435</v>
      </c>
      <c r="C15" t="s">
        <v>1252</v>
      </c>
      <c r="D15" t="s">
        <v>1220</v>
      </c>
      <c r="E15" t="s">
        <v>1253</v>
      </c>
      <c r="F15" t="s">
        <v>1254</v>
      </c>
    </row>
    <row r="16" spans="1:6" x14ac:dyDescent="0.25">
      <c r="A16">
        <v>10136491</v>
      </c>
      <c r="B16" t="s">
        <v>511</v>
      </c>
      <c r="C16" t="s">
        <v>516</v>
      </c>
      <c r="D16" t="s">
        <v>1220</v>
      </c>
      <c r="E16" t="s">
        <v>513</v>
      </c>
      <c r="F16" t="s">
        <v>1263</v>
      </c>
    </row>
    <row r="17" spans="1:6" x14ac:dyDescent="0.25">
      <c r="A17">
        <v>10255416</v>
      </c>
      <c r="B17" t="s">
        <v>896</v>
      </c>
      <c r="C17" t="s">
        <v>903</v>
      </c>
      <c r="D17" t="s">
        <v>1220</v>
      </c>
      <c r="E17" t="s">
        <v>1308</v>
      </c>
      <c r="F17" t="s">
        <v>1309</v>
      </c>
    </row>
    <row r="18" spans="1:6" x14ac:dyDescent="0.25">
      <c r="A18">
        <v>14648093</v>
      </c>
      <c r="B18" t="s">
        <v>980</v>
      </c>
      <c r="C18" t="s">
        <v>985</v>
      </c>
      <c r="D18" t="s">
        <v>1220</v>
      </c>
      <c r="E18" t="s">
        <v>1316</v>
      </c>
      <c r="F18" t="s">
        <v>1317</v>
      </c>
    </row>
    <row r="19" spans="1:6" x14ac:dyDescent="0.25">
      <c r="A19">
        <v>12058074</v>
      </c>
      <c r="B19" t="s">
        <v>998</v>
      </c>
      <c r="C19" t="s">
        <v>1003</v>
      </c>
      <c r="D19" t="s">
        <v>1220</v>
      </c>
      <c r="E19" t="s">
        <v>1325</v>
      </c>
      <c r="F19" t="s">
        <v>1326</v>
      </c>
    </row>
    <row r="20" spans="1:6" x14ac:dyDescent="0.25">
      <c r="A20">
        <v>10320390</v>
      </c>
      <c r="B20" t="s">
        <v>556</v>
      </c>
      <c r="C20" t="s">
        <v>561</v>
      </c>
      <c r="D20" t="s">
        <v>1220</v>
      </c>
      <c r="E20" t="s">
        <v>1271</v>
      </c>
      <c r="F20" t="s">
        <v>1272</v>
      </c>
    </row>
    <row r="21" spans="1:6" x14ac:dyDescent="0.25">
      <c r="A21">
        <v>11862070</v>
      </c>
      <c r="B21" t="s">
        <v>674</v>
      </c>
      <c r="C21" t="s">
        <v>681</v>
      </c>
      <c r="D21" t="s">
        <v>1220</v>
      </c>
      <c r="E21" t="s">
        <v>1285</v>
      </c>
      <c r="F21" t="s">
        <v>1286</v>
      </c>
    </row>
    <row r="22" spans="1:6" x14ac:dyDescent="0.25">
      <c r="A22">
        <v>10256249</v>
      </c>
      <c r="B22" t="s">
        <v>841</v>
      </c>
      <c r="C22" t="s">
        <v>1298</v>
      </c>
      <c r="D22" t="s">
        <v>1220</v>
      </c>
      <c r="E22" t="s">
        <v>1299</v>
      </c>
      <c r="F22" t="s">
        <v>1300</v>
      </c>
    </row>
    <row r="23" spans="1:6" x14ac:dyDescent="0.25">
      <c r="A23">
        <v>10173701</v>
      </c>
      <c r="B23" t="s">
        <v>621</v>
      </c>
      <c r="C23" t="s">
        <v>1278</v>
      </c>
      <c r="D23" t="s">
        <v>1279</v>
      </c>
      <c r="E23" t="s">
        <v>1280</v>
      </c>
      <c r="F23" t="s">
        <v>1281</v>
      </c>
    </row>
    <row r="24" spans="1:6" x14ac:dyDescent="0.25">
      <c r="A24">
        <v>14605824</v>
      </c>
      <c r="B24" t="s">
        <v>505</v>
      </c>
      <c r="C24" t="s">
        <v>510</v>
      </c>
      <c r="D24" t="s">
        <v>1220</v>
      </c>
      <c r="E24" t="s">
        <v>1261</v>
      </c>
      <c r="F24" t="s">
        <v>1262</v>
      </c>
    </row>
    <row r="25" spans="1:6" x14ac:dyDescent="0.25">
      <c r="A25">
        <v>10022095</v>
      </c>
      <c r="B25" t="s">
        <v>1121</v>
      </c>
      <c r="C25" t="s">
        <v>1342</v>
      </c>
      <c r="D25" t="s">
        <v>1335</v>
      </c>
      <c r="E25" t="s">
        <v>1343</v>
      </c>
      <c r="F25" t="s">
        <v>1344</v>
      </c>
    </row>
    <row r="26" spans="1:6" x14ac:dyDescent="0.25">
      <c r="A26">
        <v>12075701</v>
      </c>
      <c r="B26" t="s">
        <v>459</v>
      </c>
      <c r="C26" t="s">
        <v>464</v>
      </c>
      <c r="D26" t="s">
        <v>1220</v>
      </c>
      <c r="E26" t="s">
        <v>1255</v>
      </c>
      <c r="F26" t="s">
        <v>1256</v>
      </c>
    </row>
    <row r="27" spans="1:6" x14ac:dyDescent="0.25">
      <c r="A27">
        <v>10015362</v>
      </c>
      <c r="B27" t="s">
        <v>660</v>
      </c>
      <c r="C27" t="s">
        <v>1215</v>
      </c>
      <c r="D27" t="s">
        <v>1220</v>
      </c>
      <c r="E27" t="s">
        <v>1283</v>
      </c>
      <c r="F27" t="s">
        <v>1284</v>
      </c>
    </row>
    <row r="28" spans="1:6" x14ac:dyDescent="0.25">
      <c r="A28">
        <v>12058074</v>
      </c>
      <c r="B28" t="s">
        <v>998</v>
      </c>
      <c r="C28" t="s">
        <v>1322</v>
      </c>
      <c r="D28" t="s">
        <v>1220</v>
      </c>
      <c r="E28" t="s">
        <v>1323</v>
      </c>
      <c r="F28" t="s">
        <v>1324</v>
      </c>
    </row>
    <row r="29" spans="1:6" x14ac:dyDescent="0.25">
      <c r="A29">
        <v>14172638</v>
      </c>
      <c r="B29" t="s">
        <v>301</v>
      </c>
      <c r="C29" t="s">
        <v>1248</v>
      </c>
      <c r="D29" t="s">
        <v>1220</v>
      </c>
      <c r="E29" t="s">
        <v>1249</v>
      </c>
      <c r="F29" t="s">
        <v>47</v>
      </c>
    </row>
    <row r="30" spans="1:6" x14ac:dyDescent="0.25">
      <c r="A30">
        <v>11139497</v>
      </c>
      <c r="B30" t="s">
        <v>214</v>
      </c>
      <c r="C30" t="s">
        <v>1229</v>
      </c>
      <c r="D30" t="s">
        <v>1220</v>
      </c>
      <c r="E30" t="s">
        <v>1230</v>
      </c>
      <c r="F30" t="s">
        <v>1231</v>
      </c>
    </row>
    <row r="31" spans="1:6" x14ac:dyDescent="0.25">
      <c r="A31">
        <v>10268844</v>
      </c>
      <c r="B31" t="s">
        <v>992</v>
      </c>
      <c r="C31" t="s">
        <v>1214</v>
      </c>
      <c r="D31" t="s">
        <v>1220</v>
      </c>
      <c r="E31" t="s">
        <v>1320</v>
      </c>
      <c r="F31" t="s">
        <v>1321</v>
      </c>
    </row>
    <row r="32" spans="1:6" x14ac:dyDescent="0.25">
      <c r="A32">
        <v>11367436</v>
      </c>
      <c r="B32" t="s">
        <v>491</v>
      </c>
      <c r="C32" t="s">
        <v>498</v>
      </c>
      <c r="D32" t="s">
        <v>1220</v>
      </c>
      <c r="E32" t="s">
        <v>1259</v>
      </c>
      <c r="F32" t="s">
        <v>1260</v>
      </c>
    </row>
    <row r="33" spans="1:6" x14ac:dyDescent="0.25">
      <c r="A33">
        <v>11340839</v>
      </c>
      <c r="B33" t="s">
        <v>965</v>
      </c>
      <c r="C33" t="s">
        <v>1312</v>
      </c>
      <c r="D33" t="s">
        <v>1313</v>
      </c>
      <c r="E33" t="s">
        <v>1314</v>
      </c>
      <c r="F33" t="s">
        <v>1315</v>
      </c>
    </row>
    <row r="34" spans="1:6" x14ac:dyDescent="0.25">
      <c r="A34">
        <v>10243330</v>
      </c>
      <c r="B34" t="s">
        <v>986</v>
      </c>
      <c r="C34" t="s">
        <v>1318</v>
      </c>
      <c r="D34" t="s">
        <v>1282</v>
      </c>
      <c r="E34" t="s">
        <v>47</v>
      </c>
      <c r="F34" t="s">
        <v>1319</v>
      </c>
    </row>
    <row r="35" spans="1:6" x14ac:dyDescent="0.25">
      <c r="A35">
        <v>10449847</v>
      </c>
      <c r="B35" t="s">
        <v>869</v>
      </c>
      <c r="C35" t="s">
        <v>874</v>
      </c>
      <c r="D35" t="s">
        <v>1220</v>
      </c>
      <c r="E35" t="s">
        <v>1301</v>
      </c>
      <c r="F35" t="s">
        <v>1302</v>
      </c>
    </row>
    <row r="36" spans="1:6" x14ac:dyDescent="0.25">
      <c r="A36">
        <v>10255416</v>
      </c>
      <c r="B36" t="s">
        <v>896</v>
      </c>
      <c r="C36" t="s">
        <v>1310</v>
      </c>
      <c r="D36" t="s">
        <v>1226</v>
      </c>
      <c r="E36" t="s">
        <v>1311</v>
      </c>
      <c r="F36" t="s">
        <v>47</v>
      </c>
    </row>
    <row r="37" spans="1:6" x14ac:dyDescent="0.25">
      <c r="A37">
        <v>12144804</v>
      </c>
      <c r="B37" t="s">
        <v>204</v>
      </c>
      <c r="C37" t="s">
        <v>211</v>
      </c>
      <c r="D37" t="s">
        <v>1220</v>
      </c>
      <c r="E37" t="s">
        <v>1227</v>
      </c>
      <c r="F37" t="s">
        <v>1228</v>
      </c>
    </row>
    <row r="38" spans="1:6" x14ac:dyDescent="0.25">
      <c r="A38">
        <v>14133207</v>
      </c>
      <c r="B38" t="s">
        <v>742</v>
      </c>
      <c r="C38" t="s">
        <v>749</v>
      </c>
      <c r="D38" t="s">
        <v>1220</v>
      </c>
      <c r="E38" t="s">
        <v>1289</v>
      </c>
      <c r="F38" t="s">
        <v>47</v>
      </c>
    </row>
    <row r="39" spans="1:6" x14ac:dyDescent="0.25">
      <c r="A39">
        <v>11393103</v>
      </c>
      <c r="B39" t="s">
        <v>833</v>
      </c>
      <c r="C39" t="s">
        <v>1216</v>
      </c>
      <c r="D39" t="s">
        <v>1220</v>
      </c>
      <c r="E39" t="s">
        <v>835</v>
      </c>
      <c r="F39" t="s">
        <v>47</v>
      </c>
    </row>
    <row r="40" spans="1:6" x14ac:dyDescent="0.25">
      <c r="A40">
        <v>14494477</v>
      </c>
      <c r="B40" t="s">
        <v>1158</v>
      </c>
      <c r="C40" t="s">
        <v>1347</v>
      </c>
      <c r="D40" t="s">
        <v>1220</v>
      </c>
      <c r="E40" t="s">
        <v>1348</v>
      </c>
      <c r="F40" t="s">
        <v>47</v>
      </c>
    </row>
    <row r="41" spans="1:6" x14ac:dyDescent="0.25">
      <c r="A41">
        <v>14494477</v>
      </c>
      <c r="B41" t="s">
        <v>1158</v>
      </c>
      <c r="C41" t="s">
        <v>1163</v>
      </c>
      <c r="D41" t="s">
        <v>1220</v>
      </c>
      <c r="E41" t="s">
        <v>1212</v>
      </c>
      <c r="F41" t="s">
        <v>1349</v>
      </c>
    </row>
    <row r="42" spans="1:6" x14ac:dyDescent="0.25">
      <c r="A42">
        <v>10022095</v>
      </c>
      <c r="B42" t="s">
        <v>1121</v>
      </c>
      <c r="C42" t="s">
        <v>1336</v>
      </c>
      <c r="D42" t="s">
        <v>1335</v>
      </c>
      <c r="E42" t="s">
        <v>1337</v>
      </c>
      <c r="F42" t="s">
        <v>1338</v>
      </c>
    </row>
    <row r="43" spans="1:6" x14ac:dyDescent="0.25">
      <c r="A43">
        <v>12034116</v>
      </c>
      <c r="B43" t="s">
        <v>1135</v>
      </c>
      <c r="C43" t="s">
        <v>1140</v>
      </c>
      <c r="D43" t="s">
        <v>1220</v>
      </c>
      <c r="E43" t="s">
        <v>1345</v>
      </c>
      <c r="F43" t="s">
        <v>1346</v>
      </c>
    </row>
    <row r="44" spans="1:6" x14ac:dyDescent="0.25">
      <c r="A44">
        <v>10407079</v>
      </c>
      <c r="B44" t="s">
        <v>645</v>
      </c>
      <c r="C44" t="s">
        <v>652</v>
      </c>
      <c r="D44" t="s">
        <v>1220</v>
      </c>
      <c r="E44" t="s">
        <v>47</v>
      </c>
      <c r="F44" t="s">
        <v>47</v>
      </c>
    </row>
    <row r="45" spans="1:6" x14ac:dyDescent="0.25">
      <c r="A45">
        <v>10173701</v>
      </c>
      <c r="B45" t="s">
        <v>621</v>
      </c>
      <c r="C45" t="s">
        <v>1275</v>
      </c>
      <c r="D45" t="s">
        <v>1220</v>
      </c>
      <c r="E45" t="s">
        <v>1276</v>
      </c>
      <c r="F45" t="s">
        <v>1277</v>
      </c>
    </row>
    <row r="46" spans="1:6" x14ac:dyDescent="0.25">
      <c r="A46">
        <v>10077564</v>
      </c>
      <c r="B46" t="s">
        <v>274</v>
      </c>
      <c r="C46" t="s">
        <v>281</v>
      </c>
      <c r="D46" t="s">
        <v>1220</v>
      </c>
      <c r="E46" t="s">
        <v>1246</v>
      </c>
      <c r="F46" t="s">
        <v>1247</v>
      </c>
    </row>
    <row r="47" spans="1:6" x14ac:dyDescent="0.25">
      <c r="A47">
        <v>10087893</v>
      </c>
      <c r="B47" t="s">
        <v>782</v>
      </c>
      <c r="C47" t="s">
        <v>1290</v>
      </c>
      <c r="D47" t="s">
        <v>1220</v>
      </c>
      <c r="E47" t="s">
        <v>1291</v>
      </c>
      <c r="F47" t="s">
        <v>1292</v>
      </c>
    </row>
    <row r="48" spans="1:6" x14ac:dyDescent="0.25">
      <c r="A48">
        <v>10359328</v>
      </c>
      <c r="B48" t="s">
        <v>517</v>
      </c>
      <c r="C48" t="s">
        <v>1264</v>
      </c>
      <c r="D48" t="s">
        <v>1265</v>
      </c>
      <c r="E48" t="s">
        <v>1266</v>
      </c>
      <c r="F48" t="s">
        <v>47</v>
      </c>
    </row>
    <row r="49" spans="1:6" x14ac:dyDescent="0.25">
      <c r="A49">
        <v>11137400</v>
      </c>
      <c r="B49" t="s">
        <v>567</v>
      </c>
      <c r="C49" t="s">
        <v>577</v>
      </c>
      <c r="D49" t="s">
        <v>1220</v>
      </c>
      <c r="E49" t="s">
        <v>1273</v>
      </c>
      <c r="F49" t="s">
        <v>1274</v>
      </c>
    </row>
    <row r="50" spans="1:6" x14ac:dyDescent="0.25">
      <c r="A50">
        <v>10224864</v>
      </c>
      <c r="B50" t="s">
        <v>252</v>
      </c>
      <c r="C50" t="s">
        <v>259</v>
      </c>
      <c r="D50" t="s">
        <v>1220</v>
      </c>
      <c r="E50" t="s">
        <v>1244</v>
      </c>
      <c r="F50" t="s">
        <v>1245</v>
      </c>
    </row>
    <row r="51" spans="1:6" x14ac:dyDescent="0.25">
      <c r="A51">
        <v>10998873</v>
      </c>
      <c r="B51" t="s">
        <v>699</v>
      </c>
      <c r="C51" t="s">
        <v>706</v>
      </c>
      <c r="D51" t="s">
        <v>1220</v>
      </c>
      <c r="E51" t="s">
        <v>1287</v>
      </c>
      <c r="F51" t="s">
        <v>1288</v>
      </c>
    </row>
    <row r="52" spans="1:6" x14ac:dyDescent="0.25">
      <c r="A52">
        <v>75026661</v>
      </c>
      <c r="B52" t="s">
        <v>1012</v>
      </c>
      <c r="C52" t="s">
        <v>1295</v>
      </c>
      <c r="D52" t="s">
        <v>1295</v>
      </c>
      <c r="E52" t="s">
        <v>1327</v>
      </c>
      <c r="F52" t="s">
        <v>1328</v>
      </c>
    </row>
    <row r="53" spans="1:6" x14ac:dyDescent="0.25">
      <c r="A53">
        <v>10022095</v>
      </c>
      <c r="B53" t="s">
        <v>1121</v>
      </c>
      <c r="C53" t="s">
        <v>1339</v>
      </c>
      <c r="D53" t="s">
        <v>1222</v>
      </c>
      <c r="E53" t="s">
        <v>1340</v>
      </c>
      <c r="F53" t="s">
        <v>1341</v>
      </c>
    </row>
    <row r="54" spans="1:6" x14ac:dyDescent="0.25">
      <c r="A54">
        <v>16053837</v>
      </c>
      <c r="B54" t="s">
        <v>602</v>
      </c>
      <c r="C54" t="s">
        <v>607</v>
      </c>
      <c r="D54" t="s">
        <v>1220</v>
      </c>
      <c r="E54" t="s">
        <v>604</v>
      </c>
      <c r="F54" t="s">
        <v>47</v>
      </c>
    </row>
    <row r="55" spans="1:6" x14ac:dyDescent="0.25">
      <c r="A55">
        <v>12020367</v>
      </c>
      <c r="B55" t="s">
        <v>52</v>
      </c>
      <c r="C55" t="s">
        <v>1221</v>
      </c>
      <c r="D55" t="s">
        <v>1220</v>
      </c>
      <c r="E55" t="s">
        <v>47</v>
      </c>
      <c r="F55" t="s">
        <v>47</v>
      </c>
    </row>
    <row r="56" spans="1:6" x14ac:dyDescent="0.25">
      <c r="A56">
        <v>12307666</v>
      </c>
      <c r="B56" t="s">
        <v>881</v>
      </c>
      <c r="C56" t="s">
        <v>1305</v>
      </c>
      <c r="D56" t="s">
        <v>1306</v>
      </c>
      <c r="E56" t="s">
        <v>1307</v>
      </c>
      <c r="F56" t="s">
        <v>47</v>
      </c>
    </row>
    <row r="57" spans="1:6" x14ac:dyDescent="0.25">
      <c r="A57">
        <v>11548592</v>
      </c>
      <c r="B57" t="s">
        <v>1057</v>
      </c>
      <c r="C57" t="s">
        <v>1064</v>
      </c>
      <c r="D57" t="s">
        <v>1220</v>
      </c>
      <c r="E57" t="s">
        <v>1331</v>
      </c>
      <c r="F57" t="s">
        <v>1332</v>
      </c>
    </row>
    <row r="58" spans="1:6" x14ac:dyDescent="0.25">
      <c r="A58">
        <v>75008953</v>
      </c>
      <c r="B58" t="s">
        <v>224</v>
      </c>
      <c r="C58" t="s">
        <v>1352</v>
      </c>
      <c r="D58" t="s">
        <v>1235</v>
      </c>
      <c r="E58" t="s">
        <v>1236</v>
      </c>
      <c r="F58" t="s">
        <v>1237</v>
      </c>
    </row>
  </sheetData>
  <autoFilter ref="A1:F58" xr:uid="{00000000-0009-0000-0000-000001000000}">
    <sortState xmlns:xlrd2="http://schemas.microsoft.com/office/spreadsheetml/2017/richdata2" ref="A2:F58">
      <sortCondition ref="C1:C58"/>
    </sortState>
  </autoFilter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Firmad</vt:lpstr>
      <vt:lpstr>Juhatuse ja töötajate kontaktid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Marie Rosin | Inforegister</cp:lastModifiedBy>
  <dcterms:created xsi:type="dcterms:W3CDTF">2022-09-07T06:40:13Z</dcterms:created>
  <dcterms:modified xsi:type="dcterms:W3CDTF">2022-09-07T14:38:44Z</dcterms:modified>
</cp:coreProperties>
</file>